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ZAMÓWIENIA\PRZETARGI\WZiSS\2024_ROB_BUD_DPS_Ugory_INST_KK_2022-330\11_wyjasnienia 1_zmiana warunku_zm terminu na 22-02_14-02-2024\"/>
    </mc:Choice>
  </mc:AlternateContent>
  <xr:revisionPtr revIDLastSave="0" documentId="13_ncr:1_{78307ABD-8214-4D83-AFB7-2A385A2213C9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SP68 tabela etapów " sheetId="1" state="hidden" r:id="rId1"/>
    <sheet name="TER przykład wypełnienia wyższy" sheetId="15" state="hidden" r:id="rId2"/>
    <sheet name="TER wypełniony po wyborze Wyk.." sheetId="7" r:id="rId3"/>
    <sheet name="Arkusz3" sheetId="1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7" l="1"/>
  <c r="H22" i="7" s="1"/>
  <c r="G19" i="7"/>
  <c r="E12" i="7"/>
  <c r="G12" i="7" s="1"/>
  <c r="E13" i="7"/>
  <c r="G13" i="7" s="1"/>
  <c r="E14" i="7"/>
  <c r="G14" i="7" s="1"/>
  <c r="E15" i="7"/>
  <c r="G15" i="7" s="1"/>
  <c r="E16" i="7"/>
  <c r="G16" i="7" s="1"/>
  <c r="E17" i="7"/>
  <c r="G17" i="7" s="1"/>
  <c r="E18" i="7"/>
  <c r="G18" i="7" s="1"/>
  <c r="E19" i="7"/>
  <c r="E20" i="7"/>
  <c r="G20" i="7" s="1"/>
  <c r="E11" i="7"/>
  <c r="D22" i="7"/>
  <c r="E25" i="7" l="1"/>
  <c r="G11" i="7"/>
  <c r="G25" i="7" s="1"/>
  <c r="H13" i="7"/>
  <c r="H29" i="15" l="1"/>
  <c r="H28" i="15"/>
  <c r="H27" i="15"/>
  <c r="H26" i="15"/>
  <c r="D26" i="15" s="1"/>
  <c r="E26" i="15" s="1"/>
  <c r="G26" i="15" s="1"/>
  <c r="H25" i="15"/>
  <c r="D25" i="15" s="1"/>
  <c r="E25" i="15" s="1"/>
  <c r="G25" i="15" s="1"/>
  <c r="H24" i="15"/>
  <c r="D24" i="15" s="1"/>
  <c r="E24" i="15" s="1"/>
  <c r="H23" i="15"/>
  <c r="H22" i="15"/>
  <c r="H21" i="15"/>
  <c r="H20" i="15"/>
  <c r="H19" i="15"/>
  <c r="D19" i="15" s="1"/>
  <c r="E19" i="15" s="1"/>
  <c r="H17" i="15"/>
  <c r="D17" i="15" s="1"/>
  <c r="E17" i="15" s="1"/>
  <c r="G17" i="15" s="1"/>
  <c r="H16" i="15"/>
  <c r="D16" i="15" s="1"/>
  <c r="E16" i="15" s="1"/>
  <c r="G16" i="15" s="1"/>
  <c r="H15" i="15"/>
  <c r="H14" i="15"/>
  <c r="H12" i="15"/>
  <c r="H11" i="15"/>
  <c r="H41" i="15"/>
  <c r="D32" i="15" s="1"/>
  <c r="E32" i="15" s="1"/>
  <c r="J34" i="15"/>
  <c r="M34" i="15" s="1"/>
  <c r="J33" i="15"/>
  <c r="M33" i="15" s="1"/>
  <c r="J32" i="15"/>
  <c r="M32" i="15" s="1"/>
  <c r="I7" i="14"/>
  <c r="J9" i="14" s="1"/>
  <c r="P9" i="14"/>
  <c r="P8" i="14"/>
  <c r="J8" i="14"/>
  <c r="C9" i="14"/>
  <c r="C8" i="14"/>
  <c r="D27" i="15" l="1"/>
  <c r="E27" i="15" s="1"/>
  <c r="G27" i="15" s="1"/>
  <c r="D34" i="15"/>
  <c r="E34" i="15" s="1"/>
  <c r="D33" i="15"/>
  <c r="E33" i="15" s="1"/>
  <c r="G33" i="15" s="1"/>
  <c r="D18" i="15"/>
  <c r="D15" i="15"/>
  <c r="E15" i="15" s="1"/>
  <c r="G15" i="15" s="1"/>
  <c r="D22" i="15"/>
  <c r="E22" i="15" s="1"/>
  <c r="G22" i="15" s="1"/>
  <c r="D14" i="15"/>
  <c r="E14" i="15" s="1"/>
  <c r="G14" i="15" s="1"/>
  <c r="D23" i="15"/>
  <c r="E23" i="15" s="1"/>
  <c r="G23" i="15" s="1"/>
  <c r="D12" i="15"/>
  <c r="E12" i="15" s="1"/>
  <c r="G12" i="15" s="1"/>
  <c r="G41" i="15"/>
  <c r="I30" i="15"/>
  <c r="K30" i="15" s="1"/>
  <c r="D20" i="15"/>
  <c r="E20" i="15" s="1"/>
  <c r="G20" i="15" s="1"/>
  <c r="D28" i="15"/>
  <c r="E28" i="15" s="1"/>
  <c r="G28" i="15" s="1"/>
  <c r="D37" i="15"/>
  <c r="E37" i="15" s="1"/>
  <c r="G37" i="15" s="1"/>
  <c r="D11" i="15"/>
  <c r="E11" i="15" s="1"/>
  <c r="G11" i="15" s="1"/>
  <c r="D21" i="15"/>
  <c r="E21" i="15" s="1"/>
  <c r="G21" i="15" s="1"/>
  <c r="D29" i="15"/>
  <c r="E29" i="15" s="1"/>
  <c r="G29" i="15" s="1"/>
  <c r="D38" i="15"/>
  <c r="E38" i="15" s="1"/>
  <c r="G19" i="15"/>
  <c r="G24" i="15"/>
  <c r="G34" i="15"/>
  <c r="G38" i="15"/>
  <c r="H39" i="15" s="1"/>
  <c r="I40" i="15" s="1"/>
  <c r="H19" i="7"/>
  <c r="H15" i="7"/>
  <c r="D39" i="15" l="1"/>
  <c r="E39" i="15" s="1"/>
  <c r="G39" i="15" s="1"/>
  <c r="D30" i="15"/>
  <c r="J24" i="15" s="1"/>
  <c r="J18" i="15"/>
  <c r="J26" i="15"/>
  <c r="J29" i="15"/>
  <c r="J23" i="15"/>
  <c r="E30" i="15"/>
  <c r="G30" i="15" s="1"/>
  <c r="J14" i="15"/>
  <c r="J25" i="15"/>
  <c r="J20" i="15"/>
  <c r="J16" i="15"/>
  <c r="J19" i="15"/>
  <c r="J28" i="15"/>
  <c r="L30" i="15"/>
  <c r="J17" i="15"/>
  <c r="J27" i="15"/>
  <c r="J13" i="15"/>
  <c r="J15" i="15"/>
  <c r="J21" i="15"/>
  <c r="J11" i="15"/>
  <c r="H16" i="7"/>
  <c r="H12" i="7"/>
  <c r="H14" i="7"/>
  <c r="H18" i="7"/>
  <c r="H17" i="7"/>
  <c r="H11" i="7"/>
  <c r="H20" i="7"/>
  <c r="H25" i="7" l="1"/>
  <c r="J22" i="15"/>
  <c r="J12" i="15"/>
  <c r="M29" i="1"/>
  <c r="C13" i="1"/>
  <c r="C18" i="1"/>
  <c r="C27" i="1"/>
  <c r="C36" i="1" l="1"/>
  <c r="D18" i="1"/>
  <c r="D28" i="1"/>
  <c r="F28" i="1" s="1"/>
  <c r="G28" i="1" s="1"/>
  <c r="D25" i="1"/>
  <c r="F25" i="1" s="1"/>
  <c r="G25" i="1" s="1"/>
  <c r="F18" i="1" l="1"/>
  <c r="G18" i="1" s="1"/>
  <c r="D11" i="1" l="1"/>
  <c r="D35" i="1"/>
  <c r="D27" i="1" l="1"/>
  <c r="D22" i="1"/>
  <c r="D20" i="1"/>
  <c r="D14" i="1"/>
  <c r="D13" i="1"/>
  <c r="F13" i="1" s="1"/>
  <c r="F14" i="1" l="1"/>
  <c r="G14" i="1" s="1"/>
  <c r="F27" i="1"/>
  <c r="G27" i="1" s="1"/>
  <c r="F22" i="1"/>
  <c r="G22" i="1" s="1"/>
  <c r="F20" i="1"/>
  <c r="G20" i="1" s="1"/>
  <c r="G13" i="1"/>
  <c r="D26" i="1" l="1"/>
  <c r="F26" i="1" s="1"/>
  <c r="G26" i="1" s="1"/>
  <c r="D17" i="1"/>
  <c r="F17" i="1" s="1"/>
  <c r="D16" i="1"/>
  <c r="F16" i="1" l="1"/>
  <c r="G16" i="1" s="1"/>
  <c r="G17" i="1"/>
  <c r="D34" i="1" l="1"/>
  <c r="D12" i="1" l="1"/>
  <c r="D15" i="1"/>
  <c r="F15" i="1" s="1"/>
  <c r="D19" i="1"/>
  <c r="D21" i="1"/>
  <c r="D23" i="1"/>
  <c r="D24" i="1"/>
  <c r="D29" i="1"/>
  <c r="D30" i="1"/>
  <c r="D31" i="1"/>
  <c r="D32" i="1"/>
  <c r="D33" i="1"/>
  <c r="F34" i="1" l="1"/>
  <c r="F32" i="1"/>
  <c r="G32" i="1" s="1"/>
  <c r="F33" i="1"/>
  <c r="F35" i="1"/>
  <c r="G35" i="1" l="1"/>
  <c r="G33" i="1"/>
  <c r="G34" i="1"/>
  <c r="F31" i="1" l="1"/>
  <c r="F30" i="1"/>
  <c r="G30" i="1" s="1"/>
  <c r="G31" i="1" l="1"/>
  <c r="F29" i="1"/>
  <c r="F24" i="1"/>
  <c r="F23" i="1"/>
  <c r="F19" i="1"/>
  <c r="G15" i="1" l="1"/>
  <c r="F21" i="1"/>
  <c r="G21" i="1" s="1"/>
  <c r="F11" i="1"/>
  <c r="F12" i="1"/>
  <c r="G12" i="1" s="1"/>
  <c r="G19" i="1"/>
  <c r="G24" i="1"/>
  <c r="G23" i="1"/>
  <c r="G29" i="1"/>
  <c r="F36" i="1" l="1"/>
  <c r="G11" i="1"/>
  <c r="G36" i="1" s="1"/>
  <c r="D35" i="15"/>
  <c r="E35" i="15" s="1"/>
  <c r="G35" i="15" s="1"/>
  <c r="D41" i="15" l="1"/>
  <c r="G32" i="15"/>
  <c r="H35" i="15" s="1"/>
  <c r="H30" i="15"/>
  <c r="I31" i="15" s="1"/>
</calcChain>
</file>

<file path=xl/sharedStrings.xml><?xml version="1.0" encoding="utf-8"?>
<sst xmlns="http://schemas.openxmlformats.org/spreadsheetml/2006/main" count="201" uniqueCount="159">
  <si>
    <t>NAZWA INWESTYCJI</t>
  </si>
  <si>
    <t>LOKALIZACJA</t>
  </si>
  <si>
    <t>INWESTOR</t>
  </si>
  <si>
    <t>MIASTO POZNAŃ, PLAC KOLEGIACKI 17, 61-841 POZNAŃ</t>
  </si>
  <si>
    <t>INWESTOR ZASTĘPCZY</t>
  </si>
  <si>
    <t>POZNAŃSKIE INWESTYCJE MIEJSKIE Sp. z o.o., PLAC WIOSNY LUDÓW 2, 61-831 POZNAŃ</t>
  </si>
  <si>
    <t>NR ETAPU</t>
  </si>
  <si>
    <t>Kwota netto PLN</t>
  </si>
  <si>
    <t>Podatek VAT</t>
  </si>
  <si>
    <t>Kwota brutto PLN</t>
  </si>
  <si>
    <t>ETAP 1</t>
  </si>
  <si>
    <t>ETAP 2</t>
  </si>
  <si>
    <t>ETAP 3</t>
  </si>
  <si>
    <t>ETAP 4</t>
  </si>
  <si>
    <t>ETAP 5</t>
  </si>
  <si>
    <t>ETAP 12</t>
  </si>
  <si>
    <t>ETAP 13</t>
  </si>
  <si>
    <t>RAZEM</t>
  </si>
  <si>
    <t>stawka VAT</t>
  </si>
  <si>
    <t xml:space="preserve">Wskaźnik % </t>
  </si>
  <si>
    <t>Szkoła Podstawowa nr 68, os. Jana III Sobieskiego 102, 60 - 688 Poznań</t>
  </si>
  <si>
    <t>NAZWA ETAPU OFERTOWEGO</t>
  </si>
  <si>
    <t>ZAGOSPODAROWANIE TERENU</t>
  </si>
  <si>
    <t>INSTALACJE WEWNĘTRZNE</t>
  </si>
  <si>
    <t>10.2. INSTALACJE GRZEWCZE (CO)</t>
  </si>
  <si>
    <t>10.4. INSTALACJA WENTYLACJI I KLIMATYZACJI</t>
  </si>
  <si>
    <t>10.5. INSTALACJE ELEKTRYCZNE</t>
  </si>
  <si>
    <t>10.6. INSTALACJE TELETECHNICZNE</t>
  </si>
  <si>
    <t>Tabela Elementów Rozliczeniowych - Załącznik nr … do Oferty</t>
  </si>
  <si>
    <r>
      <t xml:space="preserve">ORGANIZACJA PLACU BUDOWY i PRACE PRZYGOTOWAWCZE
</t>
    </r>
    <r>
      <rPr>
        <sz val="10"/>
        <rFont val="Arial Narrow"/>
        <family val="2"/>
        <charset val="238"/>
      </rPr>
      <t>(zaplecze budowy, porozumienie dot. drogi dojazdowej, tablice informacyjne, roboty rozbiórkowe);</t>
    </r>
  </si>
  <si>
    <t>ODBIORY, DOKUMENTACJA POWYKONAWCZA, UZYSKANIE POZWOLENIA NA UŻYTKOWANIE</t>
  </si>
  <si>
    <t>Przebudowa budynku Szkoły Podstawowej nr 68 w Poznaniu</t>
  </si>
  <si>
    <t>(…)</t>
  </si>
  <si>
    <t>KONSTRUKCJA</t>
  </si>
  <si>
    <t>3.1. IZOLACJA FUNDAMENTÓW</t>
  </si>
  <si>
    <t>3.2. ELEMENTY ŻELBETOWE</t>
  </si>
  <si>
    <t>3.3. ELEMENTY STALOWE</t>
  </si>
  <si>
    <t>3.4. ŚCIANY MUROWANE</t>
  </si>
  <si>
    <t>ARCHITEKTURA</t>
  </si>
  <si>
    <t>4.1. POSADZKI</t>
  </si>
  <si>
    <t>4.2. ROBOTY TYNKOWE, GŁADZIE GIPSOWE, MALARSKIE</t>
  </si>
  <si>
    <t>4.3. SUFITY</t>
  </si>
  <si>
    <t>4.4. STOLARKA OTWOROWA I ŚLUSARSKA</t>
  </si>
  <si>
    <t>4.5. SCHODY, BALSTRADY</t>
  </si>
  <si>
    <t>4.6. WYCIERACZKI</t>
  </si>
  <si>
    <t>4.7. ELEWACJA</t>
  </si>
  <si>
    <t>4.8. DACH</t>
  </si>
  <si>
    <t>5.1. INSTALACJA HYDRANTOWA</t>
  </si>
  <si>
    <t xml:space="preserve">5.2. INSTALACJE WOD-KAN </t>
  </si>
  <si>
    <t>WKŁAD WŁASNY</t>
  </si>
  <si>
    <t>POLSKI ŁAD</t>
  </si>
  <si>
    <t>I TRANSZA</t>
  </si>
  <si>
    <t>II TRANSZA</t>
  </si>
  <si>
    <t>PRACE WYKOŃCZENIOWE</t>
  </si>
  <si>
    <t>brutto</t>
  </si>
  <si>
    <r>
      <t>ROBOTY DEMONTAŻOWE I ROZBIÓRKOWE (</t>
    </r>
    <r>
      <rPr>
        <sz val="10"/>
        <rFont val="Arial Narrow"/>
        <family val="2"/>
        <charset val="238"/>
      </rPr>
      <t>rozbiórka istniejącego tarasu wraz ze schodami, rozbiórka schodów zewnętrznych prowadzących do piwnicy, rozbiórka schodów zewnętrznych do budynku, rozbiórka ścian wewnętrznych, istniejących obróbek malarskich, demontaż istniejących rynien i rur spustowych, stolarki okiennej i drzwiowej, parapetów zewnętrznych i wewnętrznych, istalacji odgromowej, usunięcie/skucie odspajających sie tynków zewnętrznych, skucie tynków wewnętrznych, usunięcie papy dachowej, demontaż oświetlenia zewnętrznego, innych elementów wtórnych elewacji, demontaż wewnętrznych instalacji, skucie posadzek)</t>
    </r>
  </si>
  <si>
    <r>
      <t xml:space="preserve">ROBOTY DEMONTAŻOWE I ROZBIÓRKOWE </t>
    </r>
    <r>
      <rPr>
        <sz val="10"/>
        <rFont val="Arial Narrow"/>
        <family val="2"/>
        <charset val="238"/>
      </rPr>
      <t>(rozbiórka istniejącego tarasu wraz ze schodami, rozbiórka schodów zewnętrznych prowadzących do piwnicy, rozbiórka schodów zewnętrznych do budynku, rozbiórka ścian wewnętrznych, istniejących obróbek malarskich, demontaż istniejących rynien i rur spustowych, stolarki okiennej i drzwiowej, parapetów zewnętrznych i wewnętrznych, istalacji odgromowej, usunięcie/skucie odspajających sie tynków zewnętrznych, skucie tynków wewnętrznych, usunięcie papy dachowej, demontaż oświetlenia zewnętrznego, innych elementów wtórnych elewacji, demontaż wewnętrznych instalacji, skucie posadzek)</t>
    </r>
  </si>
  <si>
    <r>
      <t xml:space="preserve">ORGANIZACJA PLACU BUDOWY i PRACE PRZYGOTOWAWCZE
</t>
    </r>
    <r>
      <rPr>
        <sz val="10"/>
        <rFont val="Arial Narrow"/>
        <family val="2"/>
        <charset val="238"/>
      </rPr>
      <t>(zaplecze budowy, porozumienie dot. drogi dojazdowej, tablice informacyjne);</t>
    </r>
  </si>
  <si>
    <t>8.1.ZAGOSPODAROWANIE TERENU</t>
  </si>
  <si>
    <t>8.2.ODBIORY, DOKUMENTACJA POWYKONAWCZA, UZYSKANIE POZWOLENIA NA UŻYTKOWANIE</t>
  </si>
  <si>
    <t>7.1. INSTALACJA HYDRANTOWA</t>
  </si>
  <si>
    <t xml:space="preserve">7.2. INSTALACJE WOD-KAN </t>
  </si>
  <si>
    <t>7.3. INSTALACJE GRZEWCZE (CO)</t>
  </si>
  <si>
    <t>7.4. INSTALACJA WENTYLACJI I KLIMATYZACJI</t>
  </si>
  <si>
    <t>7.5. INSTALACJE ELEKTRYCZNE</t>
  </si>
  <si>
    <t>7.6. INSTALACJE TELETECHNICZNE</t>
  </si>
  <si>
    <t>ELEWACJA</t>
  </si>
  <si>
    <t>DACH</t>
  </si>
  <si>
    <t>POZYCJA</t>
  </si>
  <si>
    <t xml:space="preserve">Wskaźnik % udziału danego Etapu do całego zadania </t>
  </si>
  <si>
    <t>Pozycja 1</t>
  </si>
  <si>
    <t>Pozycja 2</t>
  </si>
  <si>
    <t>Pozycja 3</t>
  </si>
  <si>
    <t>Pozycja 4</t>
  </si>
  <si>
    <t>Pozycja 5</t>
  </si>
  <si>
    <t>Pozycja 6</t>
  </si>
  <si>
    <t>Pozycja 7</t>
  </si>
  <si>
    <t>Pozycja 8</t>
  </si>
  <si>
    <t>Pozycja 9</t>
  </si>
  <si>
    <t>Pozycja 10</t>
  </si>
  <si>
    <t>Pozycja 11</t>
  </si>
  <si>
    <t>Pozycja 12</t>
  </si>
  <si>
    <t>Pozycja 13</t>
  </si>
  <si>
    <t>Pozycja 14</t>
  </si>
  <si>
    <t>Pozycja 15</t>
  </si>
  <si>
    <t>Pozycja 16</t>
  </si>
  <si>
    <t>Pozycja 17</t>
  </si>
  <si>
    <t>Pozycja 18</t>
  </si>
  <si>
    <t>Pozycja 19</t>
  </si>
  <si>
    <t>Pozycja 20</t>
  </si>
  <si>
    <t>Pozycja 21</t>
  </si>
  <si>
    <t>Pozycja 22</t>
  </si>
  <si>
    <r>
      <t>1) W przypadku oferty przewyższającej wartość z wniosku o dofinansowanie, czyli kwotę 12.000.000,00 zł brutto - wartość dofinansowania 5.000.000,00 zł brutto pozostaje bez zmian, a zwiększa się kwota wkładu własnego, tym samym zmienia się</t>
    </r>
    <r>
      <rPr>
        <b/>
        <u/>
        <sz val="10"/>
        <color rgb="FF000000"/>
        <rFont val="Times New Roman"/>
        <family val="1"/>
        <charset val="238"/>
      </rPr>
      <t xml:space="preserve"> procent udziału wkładu własnego do kwoty dofinansowania.</t>
    </r>
  </si>
  <si>
    <t>IZOLACJA FUNDAMENTÓW</t>
  </si>
  <si>
    <t>ELEMENTY ŻELBETOWE</t>
  </si>
  <si>
    <t>ELEMENTY STALOWE</t>
  </si>
  <si>
    <t>ŚCIANY MUROWANE</t>
  </si>
  <si>
    <t>POSADZKI</t>
  </si>
  <si>
    <t>ROBOTY TYNKOWE, GŁADZIE GIPSOWE, MALARSKIE</t>
  </si>
  <si>
    <t>SUFITY</t>
  </si>
  <si>
    <t>STOLARKA OTWOROWA I ŚLUSARSKA</t>
  </si>
  <si>
    <t>SCHODY, BALSTRADY</t>
  </si>
  <si>
    <t>WYCIERACZKI</t>
  </si>
  <si>
    <t>RAZEM CAŁE ZADANIE</t>
  </si>
  <si>
    <t>Etap 3</t>
  </si>
  <si>
    <t>Etap 4</t>
  </si>
  <si>
    <t>Etap 5</t>
  </si>
  <si>
    <t>Etap 6</t>
  </si>
  <si>
    <t>Etap 1</t>
  </si>
  <si>
    <t>Etap 2</t>
  </si>
  <si>
    <t>Etap 7</t>
  </si>
  <si>
    <t>Etap 8</t>
  </si>
  <si>
    <t>Etap 9</t>
  </si>
  <si>
    <t>Etap 10</t>
  </si>
  <si>
    <t>Etap 11</t>
  </si>
  <si>
    <t>Etap 12</t>
  </si>
  <si>
    <t>Etap 13</t>
  </si>
  <si>
    <t>Etap 14</t>
  </si>
  <si>
    <t>NAZWA POZYCJI w Tabeli Elementów Rozliczeniowych</t>
  </si>
  <si>
    <t>WKŁAD WŁASNY ZAMAWIAJĄCEGO</t>
  </si>
  <si>
    <t>WARTOŚĆ PIERWSZEJ TRANSZY Z KWOTY DOFINANSOWANIA</t>
  </si>
  <si>
    <t>WARTOŚĆ DRUGIEJ TRANSZY Z KWOTY DOFINANSOWANIA</t>
  </si>
  <si>
    <t>PŁ</t>
  </si>
  <si>
    <t>WW</t>
  </si>
  <si>
    <t>pł</t>
  </si>
  <si>
    <t>ww</t>
  </si>
  <si>
    <t>rozkład procentowy wg promesy</t>
  </si>
  <si>
    <t xml:space="preserve">brutto </t>
  </si>
  <si>
    <t>rozkład procentowy oferta wyższa</t>
  </si>
  <si>
    <t>rozkład procentowy oferta niższa</t>
  </si>
  <si>
    <t>Etap 15</t>
  </si>
  <si>
    <t>Etap 16</t>
  </si>
  <si>
    <t>Etap 17</t>
  </si>
  <si>
    <t>ETAP 18</t>
  </si>
  <si>
    <t>ETAP 19</t>
  </si>
  <si>
    <t>2) Zamawiający zastrzega możliwość zmian: w kolejności realizacji pozycji w TER oraz korekt wskaźników udziału procentowego poszczególnych pozycji TER w stosunku do poglądowego TER, stanowiącego załącznik do SWZ</t>
  </si>
  <si>
    <r>
      <t xml:space="preserve">* dla kwoty brutto 17 220 000 % wkładu wkłasnego i kwoty dofinasowania wynosi: </t>
    </r>
    <r>
      <rPr>
        <b/>
        <sz val="10"/>
        <color rgb="FFFF0000"/>
        <rFont val="Times New Roman"/>
        <family val="1"/>
      </rPr>
      <t>70,96% i 29,04%</t>
    </r>
    <r>
      <rPr>
        <sz val="10"/>
        <color rgb="FFFF0000"/>
        <rFont val="Times New Roman"/>
        <family val="1"/>
      </rPr>
      <t xml:space="preserve"> 
(rozkład % wynika z zapisów promesy)</t>
    </r>
  </si>
  <si>
    <t>Celem dostosowania TER do zapisów z promesy:
pozycje przekraczające wartość dofinasowania są przenoszone do pozycji wkładu własnego a różnica jest rozkładana (dodowana/odejmowana) proporcjonalnie po wszytkich pozycjach</t>
  </si>
  <si>
    <t>wartości propocjonalnie zmienjszone
do kwoty II transzy dofiansowania</t>
  </si>
  <si>
    <t>różnica 89 200 zł 
po przeniesieniu poz.15,16 i 17, proporcjonalnie rozłożona na pzostałe pozycje celem dostsowania do I transzy dofinasowania</t>
  </si>
  <si>
    <t>pozycje przeniesionie z I transzy dofinasowania z uwagi na przekroczenie kwoty (przy ofercie wyższej)</t>
  </si>
  <si>
    <t>proporcjonalne rozłożenie różnicy powstałej 
w wyniku dostosowania wartości dofinansowania  do promesy, z uwzględniem % wartości każdej pozycji</t>
  </si>
  <si>
    <t>Wypełniony TER wg wartości wyższej niż z wniosku o dofinansowanie. Przykład</t>
  </si>
  <si>
    <t xml:space="preserve"> DOM POMOCY SPOŁECZNEJ PRZY UL. UGORY - MODERNIZACJA INSTALACJI WEWNĘTRZNYCH BUDYNKU B1 </t>
  </si>
  <si>
    <t>DOM POMOCY SPOŁECZNEJ UL. UGORY 18/20 POZNAŃ</t>
  </si>
  <si>
    <t>NAZWA POZYCJI  ROZLICZENIENIOWEJ</t>
  </si>
  <si>
    <t>Wskaźnik %</t>
  </si>
  <si>
    <t>Kondygnacja (poziom +2,70) - wykonanie 100% zakresu rzeczowego w zakresie wymiany instalacji sanitarnych, elektrycznych, teletechnicznych wraz z robotami montażowymi</t>
  </si>
  <si>
    <t>Kondygnacja (poziom +2,70) - wykonanie 50% zakresu rzeczowego w zakresie wymiany instalacji sanitarnych, elektrycznych, teletechnicznych wraz z robotami montażowymi</t>
  </si>
  <si>
    <t>Kondygnacja (poziom 0,00) - wykonanie 50% zakresu rzeczowego w zakresie wymiany instalacji sanitarnych, elektrycznych, teletechnicznych wraz z robotami montażowymi</t>
  </si>
  <si>
    <t>Kondygnacja (poziom 0,00) - wykonanie 100% zakresu rzeczowego w zakresie wymiany instalacji sanitarnych, elektrycznych, teletechnicznych wraz z robotami montażowymi</t>
  </si>
  <si>
    <t>Kondygnacja (poziom - 2,70) - wykonanie 50% zakresu rzeczowego w zakresie wymiany instalacji sanitarnych, elektrycznych, teletechnicznych wraz z robotami montażowymi</t>
  </si>
  <si>
    <t>Kondygnacja (poziom - 5,40) - wykonanie 50% zakresu rzeczowego w zakresie wymiany instalacji
 sanitarnych, elektrycznych, teletechnicznych wraz z robotami montażowymi</t>
  </si>
  <si>
    <t>Instalacja fotowoltaiczna</t>
  </si>
  <si>
    <t>Odbiór Końcowy Przedmiotu Umowy</t>
  </si>
  <si>
    <t>Kondygnacja (poziom -5,40; -8,10) - wykonanie 100% zakresu rzeczowego w zakresie wymiany instalacji sanitarnych, elektrycznych, teletechnicznych wraz z robotami montażowymi</t>
  </si>
  <si>
    <t>sprawdzenie - suma poszczególnych pozycji</t>
  </si>
  <si>
    <t>Kondygnacja (poziom - 2,70) - wykonanie 100% zakresu rzeczowego w zakresie wymiany instalacji
 sanitarnych, elektrycznych, teletechnicznych wraz z robotami montażowymi</t>
  </si>
  <si>
    <t xml:space="preserve">Tabela Etapów Rozliczeniowych - Załącznik do oferty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</si>
</sst>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%"/>
    <numFmt numFmtId="166" formatCode="[$-415]General"/>
    <numFmt numFmtId="167" formatCode="#,##0.00\ &quot;zł&quot;"/>
    <numFmt numFmtId="168" formatCode="0.000%"/>
    <numFmt numFmtId="169" formatCode="0.00000%"/>
    <numFmt numFmtId="170" formatCode="#,##0.000"/>
  </numFmts>
  <fonts count="29">
    <font>
      <sz val="10"/>
      <color rgb="FF000000"/>
      <name val="Times New Roman"/>
      <family val="1"/>
      <charset val="204"/>
    </font>
    <font>
      <sz val="11"/>
      <color indexed="8"/>
      <name val="Czcionka tekstu podstawowego"/>
      <family val="2"/>
      <charset val="238"/>
    </font>
    <font>
      <b/>
      <sz val="2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sz val="10"/>
      <color rgb="FFFF0000"/>
      <name val="Times New Roman"/>
      <family val="1"/>
      <charset val="204"/>
    </font>
    <font>
      <b/>
      <sz val="10"/>
      <name val="Arial Narrow"/>
      <family val="2"/>
      <charset val="238"/>
    </font>
    <font>
      <sz val="10"/>
      <color rgb="FF000000"/>
      <name val="Times New Roman"/>
      <family val="1"/>
      <charset val="204"/>
    </font>
    <font>
      <sz val="10"/>
      <name val="Arial Narrow"/>
      <family val="2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sz val="8"/>
      <name val="Times New Roman"/>
      <family val="1"/>
      <charset val="204"/>
    </font>
    <font>
      <b/>
      <sz val="10"/>
      <color rgb="FF000000"/>
      <name val="Times New Roman"/>
      <family val="1"/>
      <charset val="238"/>
    </font>
    <font>
      <b/>
      <sz val="10"/>
      <color rgb="FFFF0000"/>
      <name val="Arial Narrow"/>
      <family val="2"/>
      <charset val="238"/>
    </font>
    <font>
      <b/>
      <u/>
      <sz val="10"/>
      <color rgb="FF000000"/>
      <name val="Times New Roman"/>
      <family val="1"/>
      <charset val="238"/>
    </font>
    <font>
      <b/>
      <sz val="12"/>
      <name val="Arial Narrow"/>
      <family val="2"/>
      <charset val="238"/>
    </font>
    <font>
      <b/>
      <sz val="20"/>
      <color rgb="FFFF0000"/>
      <name val="Arial Narrow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 Narrow"/>
      <family val="2"/>
      <charset val="238"/>
    </font>
    <font>
      <sz val="12"/>
      <color rgb="FFFF0000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20"/>
      <color rgb="FFFF0000"/>
      <name val="Arial"/>
      <family val="2"/>
      <charset val="238"/>
    </font>
    <font>
      <sz val="12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FFFF99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9" fontId="11" fillId="0" borderId="0" applyFont="0" applyFill="0" applyBorder="0" applyAlignment="0" applyProtection="0"/>
    <xf numFmtId="166" fontId="13" fillId="0" borderId="0" applyBorder="0" applyProtection="0"/>
    <xf numFmtId="164" fontId="11" fillId="0" borderId="0" applyFont="0" applyFill="0" applyBorder="0" applyAlignment="0" applyProtection="0"/>
  </cellStyleXfs>
  <cellXfs count="27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" fontId="6" fillId="0" borderId="16" xfId="0" applyNumberFormat="1" applyFont="1" applyBorder="1" applyAlignment="1">
      <alignment vertical="center"/>
    </xf>
    <xf numFmtId="10" fontId="3" fillId="0" borderId="18" xfId="0" applyNumberFormat="1" applyFont="1" applyBorder="1" applyAlignment="1">
      <alignment horizontal="center" vertical="center"/>
    </xf>
    <xf numFmtId="4" fontId="8" fillId="3" borderId="19" xfId="0" applyNumberFormat="1" applyFont="1" applyFill="1" applyBorder="1" applyAlignment="1">
      <alignment vertical="center"/>
    </xf>
    <xf numFmtId="4" fontId="7" fillId="0" borderId="19" xfId="0" applyNumberFormat="1" applyFont="1" applyBorder="1" applyAlignment="1">
      <alignment vertical="center"/>
    </xf>
    <xf numFmtId="10" fontId="6" fillId="0" borderId="16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10" fontId="0" fillId="0" borderId="0" xfId="0" applyNumberFormat="1" applyAlignment="1">
      <alignment vertical="center" wrapText="1"/>
    </xf>
    <xf numFmtId="10" fontId="6" fillId="0" borderId="19" xfId="0" applyNumberFormat="1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4" fillId="0" borderId="14" xfId="0" applyFont="1" applyBorder="1" applyAlignment="1">
      <alignment horizontal="center" vertical="center"/>
    </xf>
    <xf numFmtId="10" fontId="6" fillId="0" borderId="28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4" fontId="6" fillId="0" borderId="30" xfId="0" applyNumberFormat="1" applyFont="1" applyBorder="1" applyAlignment="1">
      <alignment vertical="center"/>
    </xf>
    <xf numFmtId="0" fontId="4" fillId="0" borderId="31" xfId="0" applyFont="1" applyBorder="1" applyAlignment="1">
      <alignment vertical="center" wrapText="1"/>
    </xf>
    <xf numFmtId="4" fontId="6" fillId="0" borderId="28" xfId="0" applyNumberFormat="1" applyFont="1" applyBorder="1" applyAlignment="1">
      <alignment vertical="center"/>
    </xf>
    <xf numFmtId="4" fontId="6" fillId="0" borderId="32" xfId="0" applyNumberFormat="1" applyFont="1" applyBorder="1" applyAlignment="1">
      <alignment vertical="center"/>
    </xf>
    <xf numFmtId="165" fontId="6" fillId="0" borderId="16" xfId="2" applyNumberFormat="1" applyFont="1" applyBorder="1" applyAlignment="1">
      <alignment horizontal="center" vertical="center"/>
    </xf>
    <xf numFmtId="165" fontId="0" fillId="0" borderId="0" xfId="2" applyNumberFormat="1" applyFont="1" applyAlignment="1">
      <alignment vertical="center"/>
    </xf>
    <xf numFmtId="166" fontId="14" fillId="0" borderId="0" xfId="3" applyFont="1" applyBorder="1" applyAlignment="1">
      <alignment horizontal="center" vertical="top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5" fontId="3" fillId="0" borderId="16" xfId="2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10" fillId="0" borderId="21" xfId="0" applyFont="1" applyBorder="1" applyAlignment="1">
      <alignment vertical="center" wrapText="1"/>
    </xf>
    <xf numFmtId="4" fontId="6" fillId="0" borderId="19" xfId="0" applyNumberFormat="1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10" fillId="0" borderId="19" xfId="0" applyFont="1" applyBorder="1" applyAlignment="1">
      <alignment vertical="center" wrapText="1"/>
    </xf>
    <xf numFmtId="0" fontId="10" fillId="0" borderId="16" xfId="0" applyFont="1" applyBorder="1" applyAlignment="1">
      <alignment horizontal="left" vertical="center" wrapText="1"/>
    </xf>
    <xf numFmtId="0" fontId="5" fillId="0" borderId="31" xfId="0" applyFont="1" applyBorder="1" applyAlignment="1">
      <alignment vertical="center"/>
    </xf>
    <xf numFmtId="165" fontId="6" fillId="0" borderId="28" xfId="2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165" fontId="6" fillId="0" borderId="31" xfId="2" applyNumberFormat="1" applyFont="1" applyBorder="1" applyAlignment="1">
      <alignment horizontal="center" vertical="center"/>
    </xf>
    <xf numFmtId="165" fontId="6" fillId="0" borderId="17" xfId="2" applyNumberFormat="1" applyFont="1" applyBorder="1" applyAlignment="1">
      <alignment horizontal="center" vertical="center"/>
    </xf>
    <xf numFmtId="165" fontId="6" fillId="0" borderId="21" xfId="2" applyNumberFormat="1" applyFont="1" applyBorder="1" applyAlignment="1">
      <alignment horizontal="center" vertical="center"/>
    </xf>
    <xf numFmtId="4" fontId="6" fillId="0" borderId="31" xfId="0" applyNumberFormat="1" applyFont="1" applyBorder="1" applyAlignment="1">
      <alignment vertical="center"/>
    </xf>
    <xf numFmtId="4" fontId="6" fillId="0" borderId="17" xfId="0" applyNumberFormat="1" applyFont="1" applyBorder="1" applyAlignment="1">
      <alignment vertical="center"/>
    </xf>
    <xf numFmtId="10" fontId="6" fillId="0" borderId="31" xfId="0" applyNumberFormat="1" applyFont="1" applyBorder="1" applyAlignment="1">
      <alignment horizontal="center" vertical="center"/>
    </xf>
    <xf numFmtId="10" fontId="6" fillId="0" borderId="17" xfId="0" applyNumberFormat="1" applyFont="1" applyBorder="1" applyAlignment="1">
      <alignment horizontal="center" vertical="center"/>
    </xf>
    <xf numFmtId="165" fontId="3" fillId="0" borderId="19" xfId="2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4" fontId="6" fillId="0" borderId="37" xfId="0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2" fontId="0" fillId="0" borderId="0" xfId="0" applyNumberFormat="1" applyAlignment="1">
      <alignment vertical="center"/>
    </xf>
    <xf numFmtId="10" fontId="0" fillId="0" borderId="0" xfId="2" applyNumberFormat="1" applyFont="1" applyFill="1" applyAlignment="1">
      <alignment vertical="center"/>
    </xf>
    <xf numFmtId="165" fontId="0" fillId="0" borderId="0" xfId="2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9" fontId="0" fillId="0" borderId="0" xfId="2" applyFont="1" applyBorder="1" applyAlignment="1">
      <alignment vertical="center"/>
    </xf>
    <xf numFmtId="4" fontId="7" fillId="0" borderId="4" xfId="0" applyNumberFormat="1" applyFont="1" applyBorder="1" applyAlignment="1">
      <alignment vertical="center"/>
    </xf>
    <xf numFmtId="165" fontId="0" fillId="0" borderId="4" xfId="2" applyNumberFormat="1" applyFont="1" applyBorder="1" applyAlignment="1">
      <alignment vertical="center"/>
    </xf>
    <xf numFmtId="4" fontId="0" fillId="0" borderId="38" xfId="0" applyNumberFormat="1" applyBorder="1" applyAlignment="1">
      <alignment vertical="center"/>
    </xf>
    <xf numFmtId="0" fontId="12" fillId="0" borderId="16" xfId="0" applyFont="1" applyBorder="1" applyAlignment="1">
      <alignment horizontal="left" vertical="center" wrapText="1"/>
    </xf>
    <xf numFmtId="4" fontId="6" fillId="0" borderId="21" xfId="0" applyNumberFormat="1" applyFont="1" applyBorder="1" applyAlignment="1">
      <alignment vertical="center"/>
    </xf>
    <xf numFmtId="10" fontId="6" fillId="0" borderId="21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4" fontId="6" fillId="0" borderId="24" xfId="0" applyNumberFormat="1" applyFont="1" applyBorder="1" applyAlignment="1">
      <alignment vertical="center"/>
    </xf>
    <xf numFmtId="4" fontId="6" fillId="0" borderId="39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4" fontId="6" fillId="0" borderId="40" xfId="0" applyNumberFormat="1" applyFont="1" applyBorder="1" applyAlignment="1">
      <alignment vertical="center"/>
    </xf>
    <xf numFmtId="10" fontId="6" fillId="0" borderId="40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167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165" fontId="3" fillId="0" borderId="40" xfId="2" applyNumberFormat="1" applyFont="1" applyBorder="1" applyAlignment="1">
      <alignment horizontal="center" vertical="center"/>
    </xf>
    <xf numFmtId="10" fontId="3" fillId="0" borderId="19" xfId="0" applyNumberFormat="1" applyFont="1" applyBorder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0" fontId="0" fillId="0" borderId="0" xfId="0" applyAlignment="1">
      <alignment horizontal="center" vertical="center" wrapText="1"/>
    </xf>
    <xf numFmtId="4" fontId="0" fillId="0" borderId="4" xfId="0" applyNumberForma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3" xfId="0" applyFont="1" applyBorder="1" applyAlignment="1">
      <alignment vertical="center" wrapText="1"/>
    </xf>
    <xf numFmtId="165" fontId="16" fillId="0" borderId="0" xfId="2" applyNumberFormat="1" applyFont="1" applyBorder="1" applyAlignment="1">
      <alignment vertical="center" wrapText="1"/>
    </xf>
    <xf numFmtId="4" fontId="6" fillId="0" borderId="19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8" fillId="3" borderId="28" xfId="0" applyNumberFormat="1" applyFont="1" applyFill="1" applyBorder="1" applyAlignment="1">
      <alignment horizontal="center" vertical="center"/>
    </xf>
    <xf numFmtId="4" fontId="6" fillId="0" borderId="31" xfId="0" applyNumberFormat="1" applyFont="1" applyBorder="1" applyAlignment="1">
      <alignment horizontal="center" vertical="center"/>
    </xf>
    <xf numFmtId="4" fontId="3" fillId="0" borderId="45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center" vertical="center"/>
    </xf>
    <xf numFmtId="4" fontId="6" fillId="0" borderId="39" xfId="0" applyNumberFormat="1" applyFont="1" applyBorder="1" applyAlignment="1">
      <alignment horizontal="center" vertical="center"/>
    </xf>
    <xf numFmtId="4" fontId="6" fillId="0" borderId="30" xfId="0" applyNumberFormat="1" applyFont="1" applyBorder="1" applyAlignment="1">
      <alignment horizontal="center" vertical="center"/>
    </xf>
    <xf numFmtId="4" fontId="6" fillId="0" borderId="32" xfId="0" applyNumberFormat="1" applyFont="1" applyBorder="1" applyAlignment="1">
      <alignment horizontal="center" vertical="center"/>
    </xf>
    <xf numFmtId="16" fontId="0" fillId="0" borderId="0" xfId="0" applyNumberFormat="1" applyAlignment="1">
      <alignment vertical="center"/>
    </xf>
    <xf numFmtId="10" fontId="3" fillId="0" borderId="40" xfId="2" applyNumberFormat="1" applyFont="1" applyBorder="1" applyAlignment="1">
      <alignment horizontal="center" vertical="center"/>
    </xf>
    <xf numFmtId="10" fontId="6" fillId="0" borderId="21" xfId="2" applyNumberFormat="1" applyFont="1" applyBorder="1" applyAlignment="1">
      <alignment horizontal="center" vertical="center"/>
    </xf>
    <xf numFmtId="10" fontId="6" fillId="0" borderId="17" xfId="2" applyNumberFormat="1" applyFont="1" applyBorder="1" applyAlignment="1">
      <alignment horizontal="center" vertical="center"/>
    </xf>
    <xf numFmtId="10" fontId="6" fillId="0" borderId="28" xfId="2" applyNumberFormat="1" applyFont="1" applyBorder="1" applyAlignment="1">
      <alignment horizontal="center" vertical="center"/>
    </xf>
    <xf numFmtId="10" fontId="6" fillId="0" borderId="31" xfId="2" applyNumberFormat="1" applyFont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4" fontId="3" fillId="4" borderId="19" xfId="0" applyNumberFormat="1" applyFont="1" applyFill="1" applyBorder="1" applyAlignment="1">
      <alignment horizontal="center" vertical="center"/>
    </xf>
    <xf numFmtId="10" fontId="3" fillId="4" borderId="19" xfId="0" applyNumberFormat="1" applyFont="1" applyFill="1" applyBorder="1" applyAlignment="1">
      <alignment horizontal="center" vertical="center"/>
    </xf>
    <xf numFmtId="4" fontId="3" fillId="4" borderId="20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4" fillId="4" borderId="4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10" fontId="3" fillId="4" borderId="28" xfId="2" applyNumberFormat="1" applyFont="1" applyFill="1" applyBorder="1" applyAlignment="1">
      <alignment horizontal="center" vertical="center"/>
    </xf>
    <xf numFmtId="4" fontId="3" fillId="4" borderId="28" xfId="0" applyNumberFormat="1" applyFont="1" applyFill="1" applyBorder="1" applyAlignment="1">
      <alignment horizontal="center" vertical="center"/>
    </xf>
    <xf numFmtId="10" fontId="3" fillId="4" borderId="28" xfId="0" applyNumberFormat="1" applyFont="1" applyFill="1" applyBorder="1" applyAlignment="1">
      <alignment horizontal="center" vertical="center"/>
    </xf>
    <xf numFmtId="4" fontId="3" fillId="4" borderId="44" xfId="0" applyNumberFormat="1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left" vertical="center"/>
    </xf>
    <xf numFmtId="0" fontId="4" fillId="4" borderId="45" xfId="0" applyFont="1" applyFill="1" applyBorder="1" applyAlignment="1">
      <alignment horizontal="left" vertical="center"/>
    </xf>
    <xf numFmtId="4" fontId="6" fillId="0" borderId="40" xfId="0" applyNumberFormat="1" applyFont="1" applyBorder="1" applyAlignment="1">
      <alignment horizontal="center" vertical="center"/>
    </xf>
    <xf numFmtId="4" fontId="6" fillId="0" borderId="37" xfId="0" applyNumberFormat="1" applyFont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10" fontId="3" fillId="0" borderId="25" xfId="2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8" fontId="3" fillId="0" borderId="26" xfId="2" applyNumberFormat="1" applyFont="1" applyFill="1" applyBorder="1" applyAlignment="1">
      <alignment horizontal="center" vertical="center"/>
    </xf>
    <xf numFmtId="4" fontId="3" fillId="0" borderId="26" xfId="0" applyNumberFormat="1" applyFont="1" applyBorder="1" applyAlignment="1">
      <alignment horizontal="center" vertical="center"/>
    </xf>
    <xf numFmtId="10" fontId="3" fillId="0" borderId="26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17" fillId="0" borderId="48" xfId="0" applyFont="1" applyBorder="1" applyAlignment="1">
      <alignment horizontal="right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2" xfId="1" applyFont="1" applyBorder="1" applyAlignment="1">
      <alignment horizontal="left" vertical="center"/>
    </xf>
    <xf numFmtId="0" fontId="4" fillId="0" borderId="35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10" fontId="19" fillId="0" borderId="25" xfId="2" applyNumberFormat="1" applyFont="1" applyBorder="1" applyAlignment="1">
      <alignment horizontal="center" vertical="center"/>
    </xf>
    <xf numFmtId="4" fontId="6" fillId="0" borderId="44" xfId="0" applyNumberFormat="1" applyFont="1" applyBorder="1" applyAlignment="1">
      <alignment horizontal="center" vertical="center"/>
    </xf>
    <xf numFmtId="4" fontId="6" fillId="0" borderId="28" xfId="0" applyNumberFormat="1" applyFont="1" applyBorder="1" applyAlignment="1">
      <alignment horizontal="center" vertical="center"/>
    </xf>
    <xf numFmtId="0" fontId="4" fillId="0" borderId="34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10" fillId="4" borderId="45" xfId="0" applyFont="1" applyFill="1" applyBorder="1" applyAlignment="1">
      <alignment horizontal="right" vertical="center" wrapText="1"/>
    </xf>
    <xf numFmtId="0" fontId="10" fillId="4" borderId="19" xfId="0" applyFont="1" applyFill="1" applyBorder="1" applyAlignment="1">
      <alignment horizontal="right" vertical="center" wrapText="1"/>
    </xf>
    <xf numFmtId="0" fontId="10" fillId="4" borderId="20" xfId="0" applyFont="1" applyFill="1" applyBorder="1" applyAlignment="1">
      <alignment horizontal="right" vertical="center" wrapText="1"/>
    </xf>
    <xf numFmtId="10" fontId="0" fillId="0" borderId="0" xfId="0" applyNumberFormat="1"/>
    <xf numFmtId="0" fontId="16" fillId="0" borderId="0" xfId="0" applyFont="1"/>
    <xf numFmtId="10" fontId="16" fillId="0" borderId="0" xfId="0" applyNumberFormat="1" applyFont="1" applyAlignment="1">
      <alignment vertical="center"/>
    </xf>
    <xf numFmtId="10" fontId="23" fillId="0" borderId="28" xfId="2" applyNumberFormat="1" applyFont="1" applyBorder="1" applyAlignment="1">
      <alignment horizontal="center" vertical="center"/>
    </xf>
    <xf numFmtId="0" fontId="17" fillId="4" borderId="34" xfId="0" applyFont="1" applyFill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4" fontId="6" fillId="0" borderId="14" xfId="0" applyNumberFormat="1" applyFont="1" applyBorder="1" applyAlignment="1">
      <alignment horizontal="center" vertical="center"/>
    </xf>
    <xf numFmtId="10" fontId="6" fillId="0" borderId="14" xfId="0" applyNumberFormat="1" applyFont="1" applyBorder="1" applyAlignment="1">
      <alignment horizontal="center" vertical="center"/>
    </xf>
    <xf numFmtId="4" fontId="6" fillId="0" borderId="24" xfId="0" applyNumberFormat="1" applyFont="1" applyBorder="1" applyAlignment="1">
      <alignment horizontal="center" vertical="center"/>
    </xf>
    <xf numFmtId="9" fontId="0" fillId="0" borderId="0" xfId="2" applyFont="1" applyAlignment="1">
      <alignment vertical="center"/>
    </xf>
    <xf numFmtId="10" fontId="0" fillId="0" borderId="0" xfId="2" applyNumberFormat="1" applyFont="1" applyAlignment="1">
      <alignment vertical="center"/>
    </xf>
    <xf numFmtId="169" fontId="0" fillId="0" borderId="0" xfId="2" applyNumberFormat="1" applyFont="1" applyAlignment="1">
      <alignment vertical="center"/>
    </xf>
    <xf numFmtId="10" fontId="23" fillId="0" borderId="17" xfId="2" applyNumberFormat="1" applyFont="1" applyBorder="1" applyAlignment="1">
      <alignment horizontal="center" vertical="center"/>
    </xf>
    <xf numFmtId="10" fontId="24" fillId="4" borderId="41" xfId="2" applyNumberFormat="1" applyFont="1" applyFill="1" applyBorder="1" applyAlignment="1">
      <alignment horizontal="center" vertical="center"/>
    </xf>
    <xf numFmtId="10" fontId="24" fillId="4" borderId="28" xfId="2" applyNumberFormat="1" applyFont="1" applyFill="1" applyBorder="1" applyAlignment="1">
      <alignment horizontal="center" vertical="center"/>
    </xf>
    <xf numFmtId="164" fontId="0" fillId="0" borderId="0" xfId="4" applyFont="1" applyAlignment="1">
      <alignment vertical="center"/>
    </xf>
    <xf numFmtId="10" fontId="6" fillId="0" borderId="36" xfId="2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17" fillId="0" borderId="58" xfId="0" applyFont="1" applyBorder="1" applyAlignment="1">
      <alignment horizontal="left" vertical="center"/>
    </xf>
    <xf numFmtId="0" fontId="17" fillId="0" borderId="28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 wrapText="1"/>
    </xf>
    <xf numFmtId="0" fontId="22" fillId="0" borderId="54" xfId="0" applyFont="1" applyBorder="1" applyAlignment="1">
      <alignment vertical="center"/>
    </xf>
    <xf numFmtId="0" fontId="22" fillId="0" borderId="17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/>
    </xf>
    <xf numFmtId="4" fontId="3" fillId="4" borderId="56" xfId="0" applyNumberFormat="1" applyFont="1" applyFill="1" applyBorder="1" applyAlignment="1">
      <alignment horizontal="center" vertical="center"/>
    </xf>
    <xf numFmtId="10" fontId="23" fillId="0" borderId="31" xfId="2" applyNumberFormat="1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170" fontId="6" fillId="0" borderId="11" xfId="0" applyNumberFormat="1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38" xfId="0" applyBorder="1" applyAlignment="1">
      <alignment vertical="center" wrapText="1"/>
    </xf>
    <xf numFmtId="166" fontId="14" fillId="0" borderId="0" xfId="3" applyFont="1" applyBorder="1" applyAlignment="1">
      <alignment vertical="top" wrapText="1"/>
    </xf>
    <xf numFmtId="0" fontId="5" fillId="0" borderId="17" xfId="0" applyFont="1" applyBorder="1" applyAlignment="1">
      <alignment vertical="center" wrapText="1"/>
    </xf>
    <xf numFmtId="0" fontId="12" fillId="0" borderId="17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2" fontId="0" fillId="0" borderId="0" xfId="0" applyNumberFormat="1" applyAlignment="1">
      <alignment vertical="center" wrapText="1"/>
    </xf>
    <xf numFmtId="10" fontId="28" fillId="0" borderId="17" xfId="2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right" vertical="center" wrapText="1"/>
    </xf>
    <xf numFmtId="0" fontId="3" fillId="0" borderId="3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166" fontId="14" fillId="0" borderId="0" xfId="3" applyFont="1" applyBorder="1" applyAlignment="1">
      <alignment horizontal="center" vertical="top" wrapText="1"/>
    </xf>
    <xf numFmtId="0" fontId="4" fillId="0" borderId="35" xfId="0" applyFont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 wrapText="1"/>
    </xf>
    <xf numFmtId="0" fontId="3" fillId="0" borderId="10" xfId="1" applyFont="1" applyBorder="1" applyAlignment="1">
      <alignment horizontal="left" vertical="center" wrapText="1"/>
    </xf>
    <xf numFmtId="0" fontId="3" fillId="0" borderId="9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16" fillId="0" borderId="57" xfId="0" applyFont="1" applyBorder="1" applyAlignment="1">
      <alignment horizontal="left" vertical="center"/>
    </xf>
    <xf numFmtId="0" fontId="16" fillId="0" borderId="55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 wrapText="1"/>
    </xf>
    <xf numFmtId="0" fontId="16" fillId="0" borderId="60" xfId="0" applyFont="1" applyBorder="1" applyAlignment="1">
      <alignment horizontal="left" vertical="center" wrapText="1"/>
    </xf>
    <xf numFmtId="0" fontId="16" fillId="0" borderId="61" xfId="0" applyFont="1" applyBorder="1" applyAlignment="1">
      <alignment horizontal="left" vertical="center" wrapText="1"/>
    </xf>
    <xf numFmtId="164" fontId="16" fillId="0" borderId="59" xfId="4" applyFont="1" applyBorder="1" applyAlignment="1">
      <alignment horizontal="left" vertical="center" wrapText="1"/>
    </xf>
    <xf numFmtId="164" fontId="16" fillId="0" borderId="60" xfId="4" applyFont="1" applyBorder="1" applyAlignment="1">
      <alignment horizontal="left" vertical="center"/>
    </xf>
    <xf numFmtId="164" fontId="16" fillId="0" borderId="61" xfId="4" applyFont="1" applyBorder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6" fillId="0" borderId="60" xfId="0" applyFont="1" applyBorder="1" applyAlignment="1">
      <alignment horizontal="left" vertical="center"/>
    </xf>
    <xf numFmtId="0" fontId="16" fillId="0" borderId="61" xfId="0" applyFont="1" applyBorder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49" xfId="1" applyFont="1" applyBorder="1" applyAlignment="1">
      <alignment horizontal="left" vertical="center" wrapText="1"/>
    </xf>
    <xf numFmtId="0" fontId="3" fillId="0" borderId="42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left" vertical="center" wrapText="1"/>
    </xf>
    <xf numFmtId="0" fontId="3" fillId="0" borderId="12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3" fillId="0" borderId="52" xfId="1" applyFont="1" applyBorder="1" applyAlignment="1">
      <alignment horizontal="left" vertical="center"/>
    </xf>
    <xf numFmtId="0" fontId="3" fillId="0" borderId="23" xfId="1" applyFont="1" applyBorder="1" applyAlignment="1">
      <alignment horizontal="center" vertical="center" wrapText="1"/>
    </xf>
    <xf numFmtId="0" fontId="3" fillId="0" borderId="51" xfId="1" applyFont="1" applyBorder="1" applyAlignment="1">
      <alignment horizontal="center" vertical="center" wrapText="1"/>
    </xf>
    <xf numFmtId="0" fontId="3" fillId="0" borderId="53" xfId="1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0" fontId="10" fillId="0" borderId="5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7" xfId="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16" fillId="3" borderId="0" xfId="0" applyFont="1" applyFill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27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10" fillId="0" borderId="3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6" fillId="0" borderId="0" xfId="0" applyFont="1" applyAlignment="1">
      <alignment horizontal="center"/>
    </xf>
  </cellXfs>
  <cellStyles count="5">
    <cellStyle name="Dziesiętny" xfId="4" builtinId="3"/>
    <cellStyle name="Excel Built-in Explanatory Text" xfId="1" xr:uid="{00000000-0005-0000-0000-000000000000}"/>
    <cellStyle name="Excel Built-in Normal" xfId="3" xr:uid="{58B135D6-FE46-4DBC-8076-FC07F4C65639}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opLeftCell="A14" zoomScaleNormal="100" zoomScaleSheetLayoutView="70" workbookViewId="0">
      <selection activeCell="L19" sqref="L19:Q19"/>
    </sheetView>
  </sheetViews>
  <sheetFormatPr defaultColWidth="9.33203125" defaultRowHeight="12.75"/>
  <cols>
    <col min="1" max="1" width="13.33203125" style="1" customWidth="1"/>
    <col min="2" max="2" width="79.1640625" style="1" customWidth="1"/>
    <col min="3" max="3" width="17.33203125" style="2" customWidth="1"/>
    <col min="4" max="4" width="22.83203125" style="1" customWidth="1"/>
    <col min="5" max="5" width="15.6640625" style="1" customWidth="1"/>
    <col min="6" max="6" width="19.5" style="1" customWidth="1"/>
    <col min="7" max="7" width="28" style="1" customWidth="1"/>
    <col min="8" max="8" width="18.6640625" style="1" customWidth="1"/>
    <col min="9" max="9" width="19.33203125" style="1" bestFit="1" customWidth="1"/>
    <col min="10" max="10" width="17" style="1" bestFit="1" customWidth="1"/>
    <col min="11" max="11" width="9.33203125" style="1"/>
    <col min="12" max="12" width="11.6640625" style="1" customWidth="1"/>
    <col min="13" max="17" width="9.33203125" style="1"/>
    <col min="18" max="18" width="20.83203125" style="1" bestFit="1" customWidth="1"/>
    <col min="19" max="19" width="23" style="1" customWidth="1"/>
    <col min="20" max="16384" width="9.33203125" style="1"/>
  </cols>
  <sheetData>
    <row r="1" spans="1:17" ht="13.35" customHeight="1">
      <c r="A1" s="186" t="s">
        <v>28</v>
      </c>
      <c r="B1" s="187"/>
      <c r="C1" s="187"/>
      <c r="D1" s="187"/>
      <c r="E1" s="187"/>
      <c r="F1" s="187"/>
      <c r="G1" s="188"/>
    </row>
    <row r="2" spans="1:17" ht="13.35" customHeight="1">
      <c r="A2" s="189"/>
      <c r="B2" s="190"/>
      <c r="C2" s="190"/>
      <c r="D2" s="190"/>
      <c r="E2" s="190"/>
      <c r="F2" s="190"/>
      <c r="G2" s="191"/>
    </row>
    <row r="3" spans="1:17" ht="28.5" customHeight="1">
      <c r="A3" s="192"/>
      <c r="B3" s="193"/>
      <c r="C3" s="193"/>
      <c r="D3" s="193"/>
      <c r="E3" s="193"/>
      <c r="F3" s="193"/>
      <c r="G3" s="194"/>
    </row>
    <row r="4" spans="1:17" ht="34.5" customHeight="1">
      <c r="A4" s="201" t="s">
        <v>0</v>
      </c>
      <c r="B4" s="202"/>
      <c r="C4" s="195" t="s">
        <v>31</v>
      </c>
      <c r="D4" s="196"/>
      <c r="E4" s="196"/>
      <c r="F4" s="196"/>
      <c r="G4" s="197"/>
    </row>
    <row r="5" spans="1:17" ht="20.25" customHeight="1">
      <c r="A5" s="201" t="s">
        <v>1</v>
      </c>
      <c r="B5" s="202"/>
      <c r="C5" s="198" t="s">
        <v>20</v>
      </c>
      <c r="D5" s="199"/>
      <c r="E5" s="199"/>
      <c r="F5" s="199"/>
      <c r="G5" s="200"/>
    </row>
    <row r="6" spans="1:17" ht="20.25" customHeight="1">
      <c r="A6" s="203" t="s">
        <v>2</v>
      </c>
      <c r="B6" s="204"/>
      <c r="C6" s="195" t="s">
        <v>3</v>
      </c>
      <c r="D6" s="196"/>
      <c r="E6" s="196"/>
      <c r="F6" s="196"/>
      <c r="G6" s="197"/>
    </row>
    <row r="7" spans="1:17" ht="31.5" customHeight="1">
      <c r="A7" s="203" t="s">
        <v>4</v>
      </c>
      <c r="B7" s="204"/>
      <c r="C7" s="195" t="s">
        <v>5</v>
      </c>
      <c r="D7" s="196"/>
      <c r="E7" s="196"/>
      <c r="F7" s="196"/>
      <c r="G7" s="197"/>
    </row>
    <row r="8" spans="1:17" ht="19.5" customHeight="1">
      <c r="A8" s="208" t="s">
        <v>6</v>
      </c>
      <c r="B8" s="210" t="s">
        <v>21</v>
      </c>
      <c r="C8" s="179"/>
      <c r="D8" s="180"/>
      <c r="E8" s="180"/>
      <c r="F8" s="180"/>
      <c r="G8" s="181"/>
    </row>
    <row r="9" spans="1:17" ht="20.25" customHeight="1" thickBot="1">
      <c r="A9" s="209"/>
      <c r="B9" s="211"/>
      <c r="C9" s="45" t="s">
        <v>19</v>
      </c>
      <c r="D9" s="14" t="s">
        <v>7</v>
      </c>
      <c r="E9" s="8" t="s">
        <v>18</v>
      </c>
      <c r="F9" s="8" t="s">
        <v>8</v>
      </c>
      <c r="G9" s="9" t="s">
        <v>9</v>
      </c>
    </row>
    <row r="10" spans="1:17" ht="18" customHeight="1" thickBot="1">
      <c r="A10" s="205" t="s">
        <v>32</v>
      </c>
      <c r="B10" s="206"/>
      <c r="C10" s="206"/>
      <c r="D10" s="206"/>
      <c r="E10" s="206"/>
      <c r="F10" s="206"/>
      <c r="G10" s="207"/>
    </row>
    <row r="11" spans="1:17" ht="55.5" customHeight="1" thickBot="1">
      <c r="A11" s="27" t="s">
        <v>10</v>
      </c>
      <c r="B11" s="28" t="s">
        <v>29</v>
      </c>
      <c r="C11" s="44">
        <v>0.01</v>
      </c>
      <c r="D11" s="29">
        <f t="shared" ref="D11:D35" si="0">C11*$D$36</f>
        <v>0</v>
      </c>
      <c r="E11" s="12">
        <v>0</v>
      </c>
      <c r="F11" s="29">
        <f>D11*E11</f>
        <v>0</v>
      </c>
      <c r="G11" s="30">
        <f>D11+F11</f>
        <v>0</v>
      </c>
      <c r="H11" s="22"/>
    </row>
    <row r="12" spans="1:17" ht="111.75" customHeight="1" thickBot="1">
      <c r="A12" s="27" t="s">
        <v>11</v>
      </c>
      <c r="B12" s="31" t="s">
        <v>55</v>
      </c>
      <c r="C12" s="44">
        <v>0.05</v>
      </c>
      <c r="D12" s="29">
        <f t="shared" si="0"/>
        <v>0</v>
      </c>
      <c r="E12" s="12">
        <v>0</v>
      </c>
      <c r="F12" s="29">
        <f t="shared" ref="F12:F29" si="1">D12*E12</f>
        <v>0</v>
      </c>
      <c r="G12" s="30">
        <f>D12+F12</f>
        <v>0</v>
      </c>
      <c r="H12" s="22"/>
      <c r="J12" s="1" t="s">
        <v>54</v>
      </c>
    </row>
    <row r="13" spans="1:17" ht="24" customHeight="1">
      <c r="A13" s="185" t="s">
        <v>12</v>
      </c>
      <c r="B13" s="32" t="s">
        <v>33</v>
      </c>
      <c r="C13" s="26">
        <f>SUM(C14:C17)</f>
        <v>0.3</v>
      </c>
      <c r="D13" s="3">
        <f t="shared" si="0"/>
        <v>0</v>
      </c>
      <c r="E13" s="7">
        <v>0</v>
      </c>
      <c r="F13" s="3">
        <f>D13*E13</f>
        <v>0</v>
      </c>
      <c r="G13" s="17">
        <f>D13+F13</f>
        <v>0</v>
      </c>
      <c r="H13" s="22"/>
      <c r="I13" s="1" t="s">
        <v>49</v>
      </c>
      <c r="J13" s="67">
        <v>7000000</v>
      </c>
    </row>
    <row r="14" spans="1:17" ht="24" customHeight="1">
      <c r="A14" s="182"/>
      <c r="B14" s="56" t="s">
        <v>34</v>
      </c>
      <c r="C14" s="21">
        <v>0.05</v>
      </c>
      <c r="D14" s="3">
        <f t="shared" si="0"/>
        <v>0</v>
      </c>
      <c r="E14" s="7">
        <v>0</v>
      </c>
      <c r="F14" s="3">
        <f t="shared" ref="F14:F17" si="2">D14*E14</f>
        <v>0</v>
      </c>
      <c r="G14" s="17">
        <f t="shared" ref="G14:G29" si="3">D14+F14</f>
        <v>0</v>
      </c>
      <c r="H14" s="22"/>
      <c r="I14" s="1" t="s">
        <v>50</v>
      </c>
      <c r="J14" s="67">
        <v>5000000</v>
      </c>
    </row>
    <row r="15" spans="1:17" ht="26.25" customHeight="1">
      <c r="A15" s="182"/>
      <c r="B15" s="56" t="s">
        <v>35</v>
      </c>
      <c r="C15" s="21">
        <v>0.1</v>
      </c>
      <c r="D15" s="3">
        <f t="shared" si="0"/>
        <v>0</v>
      </c>
      <c r="E15" s="7">
        <v>0</v>
      </c>
      <c r="F15" s="3">
        <f t="shared" si="2"/>
        <v>0</v>
      </c>
      <c r="G15" s="17">
        <f t="shared" si="3"/>
        <v>0</v>
      </c>
      <c r="I15" s="68" t="s">
        <v>51</v>
      </c>
      <c r="J15" s="67">
        <v>2500000</v>
      </c>
      <c r="K15" s="49"/>
      <c r="L15" s="184"/>
      <c r="M15" s="184"/>
      <c r="N15" s="184"/>
      <c r="O15" s="184"/>
      <c r="P15" s="184"/>
      <c r="Q15" s="184"/>
    </row>
    <row r="16" spans="1:17" ht="30" customHeight="1">
      <c r="A16" s="182"/>
      <c r="B16" s="10" t="s">
        <v>36</v>
      </c>
      <c r="C16" s="21">
        <v>0.1</v>
      </c>
      <c r="D16" s="3">
        <f t="shared" si="0"/>
        <v>0</v>
      </c>
      <c r="E16" s="7">
        <v>0</v>
      </c>
      <c r="F16" s="3">
        <f t="shared" si="2"/>
        <v>0</v>
      </c>
      <c r="G16" s="17">
        <f t="shared" ref="G16" si="4">D16+F16</f>
        <v>0</v>
      </c>
      <c r="I16" s="68" t="s">
        <v>52</v>
      </c>
      <c r="J16" s="67">
        <v>2500000</v>
      </c>
      <c r="L16" s="23"/>
      <c r="M16" s="23"/>
      <c r="N16" s="23"/>
      <c r="O16" s="23"/>
      <c r="P16" s="23"/>
      <c r="Q16" s="23"/>
    </row>
    <row r="17" spans="1:17" ht="23.25" customHeight="1" thickBot="1">
      <c r="A17" s="182"/>
      <c r="B17" s="63" t="s">
        <v>37</v>
      </c>
      <c r="C17" s="39">
        <v>0.05</v>
      </c>
      <c r="D17" s="57">
        <f t="shared" si="0"/>
        <v>0</v>
      </c>
      <c r="E17" s="58">
        <v>0</v>
      </c>
      <c r="F17" s="3">
        <f t="shared" si="2"/>
        <v>0</v>
      </c>
      <c r="G17" s="61">
        <f t="shared" ref="G17:G18" si="5">D17+F17</f>
        <v>0</v>
      </c>
      <c r="I17" s="47"/>
      <c r="N17" s="23"/>
      <c r="O17" s="23"/>
      <c r="P17" s="23"/>
      <c r="Q17" s="23"/>
    </row>
    <row r="18" spans="1:17" ht="24" customHeight="1">
      <c r="A18" s="185" t="s">
        <v>13</v>
      </c>
      <c r="B18" s="36" t="s">
        <v>38</v>
      </c>
      <c r="C18" s="69">
        <f>SUM(C19:C26)</f>
        <v>0.35</v>
      </c>
      <c r="D18" s="64">
        <f t="shared" si="0"/>
        <v>0</v>
      </c>
      <c r="E18" s="65">
        <v>0</v>
      </c>
      <c r="F18" s="64">
        <f>D18*E18</f>
        <v>0</v>
      </c>
      <c r="G18" s="46">
        <f t="shared" si="5"/>
        <v>0</v>
      </c>
      <c r="I18" s="47"/>
      <c r="N18" s="23"/>
      <c r="O18" s="23"/>
      <c r="P18" s="23"/>
      <c r="Q18" s="23"/>
    </row>
    <row r="19" spans="1:17" ht="24" customHeight="1">
      <c r="A19" s="182"/>
      <c r="B19" s="59" t="s">
        <v>39</v>
      </c>
      <c r="C19" s="38">
        <v>0.04</v>
      </c>
      <c r="D19" s="41">
        <f t="shared" si="0"/>
        <v>0</v>
      </c>
      <c r="E19" s="43">
        <v>0</v>
      </c>
      <c r="F19" s="41">
        <f t="shared" si="1"/>
        <v>0</v>
      </c>
      <c r="G19" s="17">
        <f t="shared" si="3"/>
        <v>0</v>
      </c>
      <c r="H19" s="22"/>
      <c r="L19" s="184"/>
      <c r="M19" s="184"/>
      <c r="N19" s="184"/>
      <c r="O19" s="184"/>
      <c r="P19" s="184"/>
      <c r="Q19" s="184"/>
    </row>
    <row r="20" spans="1:17" ht="24" customHeight="1">
      <c r="A20" s="182"/>
      <c r="B20" s="56" t="s">
        <v>40</v>
      </c>
      <c r="C20" s="38">
        <v>0.04</v>
      </c>
      <c r="D20" s="41">
        <f t="shared" si="0"/>
        <v>0</v>
      </c>
      <c r="E20" s="43">
        <v>0</v>
      </c>
      <c r="F20" s="41">
        <f t="shared" ref="F20" si="6">D20*E20</f>
        <v>0</v>
      </c>
      <c r="G20" s="17">
        <f t="shared" ref="G20" si="7">D20+F20</f>
        <v>0</v>
      </c>
      <c r="H20" s="22"/>
    </row>
    <row r="21" spans="1:17" ht="24" customHeight="1">
      <c r="A21" s="182"/>
      <c r="B21" s="10" t="s">
        <v>41</v>
      </c>
      <c r="C21" s="38">
        <v>0.04</v>
      </c>
      <c r="D21" s="41">
        <f t="shared" si="0"/>
        <v>0</v>
      </c>
      <c r="E21" s="43">
        <v>0</v>
      </c>
      <c r="F21" s="41">
        <f t="shared" si="1"/>
        <v>0</v>
      </c>
      <c r="G21" s="17">
        <f t="shared" si="3"/>
        <v>0</v>
      </c>
      <c r="H21" s="22"/>
      <c r="L21" s="184"/>
      <c r="M21" s="184"/>
      <c r="N21" s="184"/>
      <c r="O21" s="184"/>
      <c r="P21" s="184"/>
      <c r="Q21" s="184"/>
    </row>
    <row r="22" spans="1:17" ht="24" customHeight="1">
      <c r="A22" s="182"/>
      <c r="B22" s="10" t="s">
        <v>42</v>
      </c>
      <c r="C22" s="38">
        <v>0.05</v>
      </c>
      <c r="D22" s="41">
        <f t="shared" si="0"/>
        <v>0</v>
      </c>
      <c r="E22" s="43">
        <v>0</v>
      </c>
      <c r="F22" s="41">
        <f t="shared" si="1"/>
        <v>0</v>
      </c>
      <c r="G22" s="17">
        <f t="shared" si="3"/>
        <v>0</v>
      </c>
      <c r="H22" s="22"/>
      <c r="M22" s="23"/>
      <c r="N22" s="23"/>
      <c r="O22" s="23"/>
      <c r="P22" s="23"/>
      <c r="Q22" s="23"/>
    </row>
    <row r="23" spans="1:17" ht="24" customHeight="1">
      <c r="A23" s="182"/>
      <c r="B23" s="56" t="s">
        <v>43</v>
      </c>
      <c r="C23" s="38">
        <v>0.05</v>
      </c>
      <c r="D23" s="41">
        <f t="shared" si="0"/>
        <v>0</v>
      </c>
      <c r="E23" s="43">
        <v>0</v>
      </c>
      <c r="F23" s="41">
        <f t="shared" si="1"/>
        <v>0</v>
      </c>
      <c r="G23" s="17">
        <f t="shared" si="3"/>
        <v>0</v>
      </c>
      <c r="I23" s="50"/>
    </row>
    <row r="24" spans="1:17" ht="24" customHeight="1">
      <c r="A24" s="182"/>
      <c r="B24" s="56" t="s">
        <v>44</v>
      </c>
      <c r="C24" s="38">
        <v>0.03</v>
      </c>
      <c r="D24" s="41">
        <f t="shared" si="0"/>
        <v>0</v>
      </c>
      <c r="E24" s="43">
        <v>0</v>
      </c>
      <c r="F24" s="41">
        <f t="shared" si="1"/>
        <v>0</v>
      </c>
      <c r="G24" s="17">
        <f t="shared" si="3"/>
        <v>0</v>
      </c>
      <c r="I24" s="50"/>
    </row>
    <row r="25" spans="1:17" ht="24" customHeight="1">
      <c r="A25" s="182"/>
      <c r="B25" s="10" t="s">
        <v>45</v>
      </c>
      <c r="C25" s="38">
        <v>0.05</v>
      </c>
      <c r="D25" s="41">
        <f t="shared" si="0"/>
        <v>0</v>
      </c>
      <c r="E25" s="43">
        <v>0</v>
      </c>
      <c r="F25" s="41">
        <f t="shared" si="1"/>
        <v>0</v>
      </c>
      <c r="G25" s="17">
        <f t="shared" si="3"/>
        <v>0</v>
      </c>
      <c r="I25" s="50"/>
    </row>
    <row r="26" spans="1:17" ht="24" customHeight="1" thickBot="1">
      <c r="A26" s="183"/>
      <c r="B26" s="33" t="s">
        <v>46</v>
      </c>
      <c r="C26" s="34">
        <v>0.05</v>
      </c>
      <c r="D26" s="40">
        <f t="shared" si="0"/>
        <v>0</v>
      </c>
      <c r="E26" s="42">
        <v>0</v>
      </c>
      <c r="F26" s="40">
        <f t="shared" ref="F26" si="8">D26*E26</f>
        <v>0</v>
      </c>
      <c r="G26" s="20">
        <f t="shared" ref="G26" si="9">D26+F26</f>
        <v>0</v>
      </c>
      <c r="H26" s="60"/>
      <c r="L26" s="51"/>
    </row>
    <row r="27" spans="1:17" ht="20.25" customHeight="1">
      <c r="A27" s="182" t="s">
        <v>14</v>
      </c>
      <c r="B27" s="66" t="s">
        <v>23</v>
      </c>
      <c r="C27" s="26">
        <f>SUM(C28:C33)</f>
        <v>9.9999999999999992E-2</v>
      </c>
      <c r="D27" s="3">
        <f t="shared" si="0"/>
        <v>0</v>
      </c>
      <c r="E27" s="7">
        <v>0</v>
      </c>
      <c r="F27" s="3">
        <f t="shared" si="1"/>
        <v>0</v>
      </c>
      <c r="G27" s="62">
        <f t="shared" si="3"/>
        <v>0</v>
      </c>
      <c r="H27" s="22"/>
      <c r="L27" s="52"/>
    </row>
    <row r="28" spans="1:17" ht="20.25" customHeight="1">
      <c r="A28" s="182"/>
      <c r="B28" s="10" t="s">
        <v>47</v>
      </c>
      <c r="C28" s="38">
        <v>0.02</v>
      </c>
      <c r="D28" s="3">
        <f t="shared" si="0"/>
        <v>0</v>
      </c>
      <c r="E28" s="7">
        <v>0</v>
      </c>
      <c r="F28" s="3">
        <f t="shared" si="1"/>
        <v>0</v>
      </c>
      <c r="G28" s="62">
        <f t="shared" si="3"/>
        <v>0</v>
      </c>
      <c r="H28" s="22"/>
      <c r="L28" s="52"/>
    </row>
    <row r="29" spans="1:17" ht="22.5" customHeight="1">
      <c r="A29" s="182"/>
      <c r="B29" s="10" t="s">
        <v>48</v>
      </c>
      <c r="C29" s="38">
        <v>0.02</v>
      </c>
      <c r="D29" s="41">
        <f t="shared" si="0"/>
        <v>0</v>
      </c>
      <c r="E29" s="43">
        <v>0</v>
      </c>
      <c r="F29" s="41">
        <f t="shared" si="1"/>
        <v>0</v>
      </c>
      <c r="G29" s="17">
        <f t="shared" si="3"/>
        <v>0</v>
      </c>
      <c r="H29" s="22"/>
      <c r="M29" s="1">
        <f>7/5</f>
        <v>1.4</v>
      </c>
    </row>
    <row r="30" spans="1:17" ht="23.25" customHeight="1">
      <c r="A30" s="182"/>
      <c r="B30" s="10" t="s">
        <v>24</v>
      </c>
      <c r="C30" s="38">
        <v>0.02</v>
      </c>
      <c r="D30" s="41">
        <f t="shared" si="0"/>
        <v>0</v>
      </c>
      <c r="E30" s="43">
        <v>0</v>
      </c>
      <c r="F30" s="41">
        <f t="shared" ref="F30:F35" si="10">D30*E30</f>
        <v>0</v>
      </c>
      <c r="G30" s="17">
        <f t="shared" ref="G30:G33" si="11">D30+F30</f>
        <v>0</v>
      </c>
      <c r="H30" s="22"/>
    </row>
    <row r="31" spans="1:17" ht="22.5" customHeight="1">
      <c r="A31" s="182"/>
      <c r="B31" s="10" t="s">
        <v>25</v>
      </c>
      <c r="C31" s="38">
        <v>0.02</v>
      </c>
      <c r="D31" s="41">
        <f t="shared" si="0"/>
        <v>0</v>
      </c>
      <c r="E31" s="43">
        <v>0</v>
      </c>
      <c r="F31" s="41">
        <f t="shared" si="10"/>
        <v>0</v>
      </c>
      <c r="G31" s="17">
        <f t="shared" si="11"/>
        <v>0</v>
      </c>
      <c r="H31" s="22"/>
    </row>
    <row r="32" spans="1:17" ht="20.25" customHeight="1">
      <c r="A32" s="182"/>
      <c r="B32" s="10" t="s">
        <v>26</v>
      </c>
      <c r="C32" s="38">
        <v>0.01</v>
      </c>
      <c r="D32" s="41">
        <f t="shared" si="0"/>
        <v>0</v>
      </c>
      <c r="E32" s="43">
        <v>0</v>
      </c>
      <c r="F32" s="41">
        <f t="shared" si="10"/>
        <v>0</v>
      </c>
      <c r="G32" s="17">
        <f t="shared" si="11"/>
        <v>0</v>
      </c>
      <c r="H32" s="22"/>
    </row>
    <row r="33" spans="1:12" ht="22.5" customHeight="1" thickBot="1">
      <c r="A33" s="183"/>
      <c r="B33" s="33" t="s">
        <v>27</v>
      </c>
      <c r="C33" s="37">
        <v>0.01</v>
      </c>
      <c r="D33" s="40">
        <f t="shared" si="0"/>
        <v>0</v>
      </c>
      <c r="E33" s="42">
        <v>0</v>
      </c>
      <c r="F33" s="40">
        <f t="shared" si="10"/>
        <v>0</v>
      </c>
      <c r="G33" s="20">
        <f t="shared" si="11"/>
        <v>0</v>
      </c>
      <c r="H33" s="22"/>
    </row>
    <row r="34" spans="1:12" ht="30" customHeight="1" thickBot="1">
      <c r="A34" s="27" t="s">
        <v>15</v>
      </c>
      <c r="B34" s="35" t="s">
        <v>22</v>
      </c>
      <c r="C34" s="44">
        <v>0.09</v>
      </c>
      <c r="D34" s="29">
        <f t="shared" si="0"/>
        <v>0</v>
      </c>
      <c r="E34" s="12">
        <v>0</v>
      </c>
      <c r="F34" s="29">
        <f>D34*E34</f>
        <v>0</v>
      </c>
      <c r="G34" s="30">
        <f>D34+F34</f>
        <v>0</v>
      </c>
      <c r="H34" s="54"/>
      <c r="I34" s="47"/>
    </row>
    <row r="35" spans="1:12" ht="30" customHeight="1" thickBot="1">
      <c r="A35" s="16" t="s">
        <v>16</v>
      </c>
      <c r="B35" s="18" t="s">
        <v>30</v>
      </c>
      <c r="C35" s="26">
        <v>0.1</v>
      </c>
      <c r="D35" s="19">
        <f t="shared" si="0"/>
        <v>0</v>
      </c>
      <c r="E35" s="15">
        <v>0</v>
      </c>
      <c r="F35" s="19">
        <f t="shared" si="10"/>
        <v>0</v>
      </c>
      <c r="G35" s="20">
        <f>D35+F35</f>
        <v>0</v>
      </c>
      <c r="H35" s="53"/>
      <c r="L35" s="51"/>
    </row>
    <row r="36" spans="1:12" ht="23.25" customHeight="1" thickBot="1">
      <c r="A36" s="177" t="s">
        <v>17</v>
      </c>
      <c r="B36" s="178"/>
      <c r="C36" s="4">
        <f>C11+C12+C13+C18+C27+C34+C35</f>
        <v>0.99999999999999989</v>
      </c>
      <c r="D36" s="5">
        <v>0</v>
      </c>
      <c r="E36" s="70">
        <v>0</v>
      </c>
      <c r="F36" s="6">
        <f>F11+F12+F13+F18+F27+F34+F35</f>
        <v>0</v>
      </c>
      <c r="G36" s="6">
        <f>G11+G12+G13+G18+G27+G34+G35</f>
        <v>0</v>
      </c>
      <c r="H36" s="55"/>
    </row>
    <row r="39" spans="1:12">
      <c r="C39" s="11"/>
      <c r="D39" s="13"/>
    </row>
    <row r="40" spans="1:12" ht="39.6" customHeight="1">
      <c r="C40" s="25"/>
    </row>
    <row r="41" spans="1:12">
      <c r="C41" s="25"/>
    </row>
    <row r="42" spans="1:12" ht="39.6" customHeight="1">
      <c r="C42" s="24"/>
      <c r="G42" s="13"/>
    </row>
    <row r="43" spans="1:12" ht="54" customHeight="1">
      <c r="C43" s="25"/>
    </row>
  </sheetData>
  <mergeCells count="20">
    <mergeCell ref="C7:G7"/>
    <mergeCell ref="A10:G10"/>
    <mergeCell ref="A7:B7"/>
    <mergeCell ref="A8:A9"/>
    <mergeCell ref="B8:B9"/>
    <mergeCell ref="A1:G3"/>
    <mergeCell ref="C4:G4"/>
    <mergeCell ref="C5:G5"/>
    <mergeCell ref="C6:G6"/>
    <mergeCell ref="A4:B4"/>
    <mergeCell ref="A5:B5"/>
    <mergeCell ref="A6:B6"/>
    <mergeCell ref="A36:B36"/>
    <mergeCell ref="C8:G8"/>
    <mergeCell ref="A27:A33"/>
    <mergeCell ref="L15:Q15"/>
    <mergeCell ref="L19:Q19"/>
    <mergeCell ref="L21:Q21"/>
    <mergeCell ref="A13:A17"/>
    <mergeCell ref="A18:A26"/>
  </mergeCells>
  <phoneticPr fontId="15" type="noConversion"/>
  <pageMargins left="0.23622047244094491" right="0.23622047244094491" top="0.74803149606299213" bottom="0.74803149606299213" header="0.31496062992125984" footer="0.11811023622047245"/>
  <pageSetup paperSize="9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144BA-5C00-428E-9348-2394E1F5F812}">
  <sheetPr>
    <tabColor rgb="FFFFFF00"/>
  </sheetPr>
  <dimension ref="A1:T47"/>
  <sheetViews>
    <sheetView zoomScale="70" zoomScaleNormal="70" zoomScaleSheetLayoutView="70" workbookViewId="0">
      <selection activeCell="P12" sqref="P12"/>
    </sheetView>
  </sheetViews>
  <sheetFormatPr defaultColWidth="9.33203125" defaultRowHeight="12.75"/>
  <cols>
    <col min="1" max="2" width="13.33203125" style="1" customWidth="1"/>
    <col min="3" max="3" width="79.1640625" style="1" customWidth="1"/>
    <col min="4" max="4" width="24.33203125" style="2" customWidth="1"/>
    <col min="5" max="5" width="22.83203125" style="1" customWidth="1"/>
    <col min="6" max="6" width="15.6640625" style="1" customWidth="1"/>
    <col min="7" max="7" width="19.5" style="1" customWidth="1"/>
    <col min="8" max="8" width="28" style="1" customWidth="1"/>
    <col min="9" max="9" width="46.83203125" style="1" customWidth="1"/>
    <col min="10" max="10" width="9.6640625" style="1" bestFit="1" customWidth="1"/>
    <col min="11" max="11" width="21" style="1" customWidth="1"/>
    <col min="12" max="12" width="9.33203125" style="1"/>
    <col min="13" max="13" width="41.83203125" style="1" bestFit="1" customWidth="1"/>
    <col min="14" max="14" width="17.5" style="1" customWidth="1"/>
    <col min="15" max="18" width="9.33203125" style="1"/>
    <col min="19" max="19" width="20.83203125" style="1" bestFit="1" customWidth="1"/>
    <col min="20" max="20" width="23" style="1" customWidth="1"/>
    <col min="21" max="16384" width="9.33203125" style="1"/>
  </cols>
  <sheetData>
    <row r="1" spans="1:20" ht="13.35" customHeight="1">
      <c r="A1" s="227" t="s">
        <v>142</v>
      </c>
      <c r="B1" s="228"/>
      <c r="C1" s="228"/>
      <c r="D1" s="228"/>
      <c r="E1" s="228"/>
      <c r="F1" s="228"/>
      <c r="G1" s="228"/>
      <c r="H1" s="228"/>
    </row>
    <row r="2" spans="1:20" ht="13.35" customHeight="1">
      <c r="A2" s="228"/>
      <c r="B2" s="228"/>
      <c r="C2" s="228"/>
      <c r="D2" s="228"/>
      <c r="E2" s="228"/>
      <c r="F2" s="228"/>
      <c r="G2" s="228"/>
      <c r="H2" s="228"/>
    </row>
    <row r="3" spans="1:20" ht="28.5" customHeight="1">
      <c r="A3" s="228"/>
      <c r="B3" s="228"/>
      <c r="C3" s="228"/>
      <c r="D3" s="228"/>
      <c r="E3" s="228"/>
      <c r="F3" s="228"/>
      <c r="G3" s="228"/>
      <c r="H3" s="228"/>
    </row>
    <row r="4" spans="1:20" ht="34.5" hidden="1" customHeight="1">
      <c r="A4" s="229" t="s">
        <v>0</v>
      </c>
      <c r="B4" s="230"/>
      <c r="C4" s="231"/>
      <c r="D4" s="232" t="s">
        <v>31</v>
      </c>
      <c r="E4" s="233"/>
      <c r="F4" s="233"/>
      <c r="G4" s="233"/>
      <c r="H4" s="234"/>
    </row>
    <row r="5" spans="1:20" ht="20.25" hidden="1" customHeight="1">
      <c r="A5" s="201" t="s">
        <v>1</v>
      </c>
      <c r="B5" s="235"/>
      <c r="C5" s="202"/>
      <c r="D5" s="198" t="s">
        <v>20</v>
      </c>
      <c r="E5" s="199"/>
      <c r="F5" s="199"/>
      <c r="G5" s="199"/>
      <c r="H5" s="200"/>
      <c r="L5" s="88"/>
    </row>
    <row r="6" spans="1:20" ht="20.25" hidden="1" customHeight="1">
      <c r="A6" s="203" t="s">
        <v>2</v>
      </c>
      <c r="B6" s="236"/>
      <c r="C6" s="204"/>
      <c r="D6" s="195" t="s">
        <v>3</v>
      </c>
      <c r="E6" s="196"/>
      <c r="F6" s="196"/>
      <c r="G6" s="196"/>
      <c r="H6" s="197"/>
    </row>
    <row r="7" spans="1:20" ht="20.25" customHeight="1" thickBot="1">
      <c r="A7" s="123"/>
      <c r="B7" s="125"/>
      <c r="C7" s="124"/>
      <c r="D7" s="120"/>
      <c r="E7" s="121"/>
      <c r="F7" s="121"/>
      <c r="G7" s="121"/>
      <c r="H7" s="122"/>
    </row>
    <row r="8" spans="1:20" ht="31.5" hidden="1" customHeight="1">
      <c r="A8" s="237" t="s">
        <v>4</v>
      </c>
      <c r="B8" s="238"/>
      <c r="C8" s="239"/>
      <c r="D8" s="240" t="s">
        <v>5</v>
      </c>
      <c r="E8" s="241"/>
      <c r="F8" s="241"/>
      <c r="G8" s="241"/>
      <c r="H8" s="242"/>
    </row>
    <row r="9" spans="1:20" ht="19.5" customHeight="1">
      <c r="A9" s="243" t="s">
        <v>6</v>
      </c>
      <c r="B9" s="245" t="s">
        <v>68</v>
      </c>
      <c r="C9" s="245" t="s">
        <v>118</v>
      </c>
      <c r="D9" s="247" t="s">
        <v>69</v>
      </c>
      <c r="E9" s="245" t="s">
        <v>7</v>
      </c>
      <c r="F9" s="245" t="s">
        <v>18</v>
      </c>
      <c r="G9" s="245" t="s">
        <v>8</v>
      </c>
      <c r="H9" s="252" t="s">
        <v>9</v>
      </c>
    </row>
    <row r="10" spans="1:20" ht="39.75" customHeight="1" thickBot="1">
      <c r="A10" s="244"/>
      <c r="B10" s="246"/>
      <c r="C10" s="246"/>
      <c r="D10" s="248"/>
      <c r="E10" s="246"/>
      <c r="F10" s="246"/>
      <c r="G10" s="246"/>
      <c r="H10" s="253"/>
    </row>
    <row r="11" spans="1:20" ht="55.5" customHeight="1" thickBot="1">
      <c r="A11" s="131" t="s">
        <v>108</v>
      </c>
      <c r="B11" s="132" t="s">
        <v>70</v>
      </c>
      <c r="C11" s="28" t="s">
        <v>57</v>
      </c>
      <c r="D11" s="92">
        <f>H11/$H$41</f>
        <v>1.0889894169299355E-2</v>
      </c>
      <c r="E11" s="130">
        <f>D11*$E$41</f>
        <v>152458.51837019096</v>
      </c>
      <c r="F11" s="15">
        <v>0.23</v>
      </c>
      <c r="G11" s="130">
        <f>E11*F11</f>
        <v>35065.459225143924</v>
      </c>
      <c r="H11" s="129">
        <f>172200+K11</f>
        <v>187523.9775953349</v>
      </c>
      <c r="I11" s="151"/>
      <c r="J11" s="112">
        <f>D11/$D$30</f>
        <v>1.5345661014348191E-2</v>
      </c>
      <c r="K11" s="151">
        <v>15323.977595334914</v>
      </c>
      <c r="M11" s="216" t="s">
        <v>141</v>
      </c>
    </row>
    <row r="12" spans="1:20" ht="110.25" customHeight="1" thickBot="1">
      <c r="A12" s="27" t="s">
        <v>109</v>
      </c>
      <c r="B12" s="35" t="s">
        <v>71</v>
      </c>
      <c r="C12" s="31" t="s">
        <v>56</v>
      </c>
      <c r="D12" s="92">
        <f t="shared" ref="D12:D29" si="0">H12/$H$41</f>
        <v>5.9894417931146457E-2</v>
      </c>
      <c r="E12" s="78">
        <f>D12*$E$41</f>
        <v>838521.85103605036</v>
      </c>
      <c r="F12" s="12">
        <v>0.23</v>
      </c>
      <c r="G12" s="78">
        <f t="shared" ref="G12:G39" si="1">E12*F12</f>
        <v>192860.02573829159</v>
      </c>
      <c r="H12" s="84">
        <f>947100+K12</f>
        <v>1031381.876774342</v>
      </c>
      <c r="I12" s="151"/>
      <c r="J12" s="112">
        <f t="shared" ref="J12:J29" si="2">D12/$D$30</f>
        <v>8.4401135578915057E-2</v>
      </c>
      <c r="K12" s="151">
        <v>84281.876774342032</v>
      </c>
      <c r="M12" s="225"/>
      <c r="T12" s="47"/>
    </row>
    <row r="13" spans="1:20" ht="24" customHeight="1">
      <c r="A13" s="126"/>
      <c r="B13" s="99"/>
      <c r="C13" s="32" t="s">
        <v>33</v>
      </c>
      <c r="D13" s="90"/>
      <c r="E13" s="79"/>
      <c r="F13" s="7"/>
      <c r="G13" s="79"/>
      <c r="H13" s="85"/>
      <c r="I13" s="151"/>
      <c r="J13" s="112">
        <f t="shared" si="2"/>
        <v>0</v>
      </c>
      <c r="K13" s="151">
        <v>0</v>
      </c>
      <c r="M13" s="225"/>
      <c r="T13" s="67"/>
    </row>
    <row r="14" spans="1:20" ht="24" customHeight="1">
      <c r="A14" s="127" t="s">
        <v>104</v>
      </c>
      <c r="B14" s="99" t="s">
        <v>72</v>
      </c>
      <c r="C14" s="56" t="s">
        <v>93</v>
      </c>
      <c r="D14" s="91">
        <f t="shared" si="0"/>
        <v>2.7224735423248391E-2</v>
      </c>
      <c r="E14" s="79">
        <f>D14*$E$41</f>
        <v>381146.29592547746</v>
      </c>
      <c r="F14" s="7">
        <v>0.23</v>
      </c>
      <c r="G14" s="79">
        <f t="shared" si="1"/>
        <v>87663.648062859822</v>
      </c>
      <c r="H14" s="86">
        <f>430500+K14</f>
        <v>468809.9439883373</v>
      </c>
      <c r="I14" s="151"/>
      <c r="J14" s="112">
        <f t="shared" si="2"/>
        <v>3.8364152535870485E-2</v>
      </c>
      <c r="K14" s="151">
        <v>38309.943988337283</v>
      </c>
      <c r="M14" s="225"/>
      <c r="T14" s="67"/>
    </row>
    <row r="15" spans="1:20" ht="26.25" customHeight="1">
      <c r="A15" s="127" t="s">
        <v>105</v>
      </c>
      <c r="B15" s="99" t="s">
        <v>73</v>
      </c>
      <c r="C15" s="56" t="s">
        <v>94</v>
      </c>
      <c r="D15" s="91">
        <f t="shared" si="0"/>
        <v>1.6334841253949035E-2</v>
      </c>
      <c r="E15" s="79">
        <f>D15*$E$41</f>
        <v>228687.77755528648</v>
      </c>
      <c r="F15" s="7">
        <v>0.23</v>
      </c>
      <c r="G15" s="79">
        <f t="shared" si="1"/>
        <v>52598.18883771589</v>
      </c>
      <c r="H15" s="86">
        <f>258300+K15</f>
        <v>281285.96639300237</v>
      </c>
      <c r="I15" s="151"/>
      <c r="J15" s="112">
        <f t="shared" si="2"/>
        <v>2.3018491521522293E-2</v>
      </c>
      <c r="K15" s="151">
        <v>22985.966393002371</v>
      </c>
      <c r="L15" s="49"/>
      <c r="M15" s="225"/>
      <c r="N15" s="169"/>
      <c r="O15" s="169"/>
      <c r="P15" s="169"/>
      <c r="Q15" s="169"/>
      <c r="R15" s="169"/>
      <c r="S15" s="68"/>
      <c r="T15" s="67"/>
    </row>
    <row r="16" spans="1:20" ht="30" customHeight="1">
      <c r="A16" s="127" t="s">
        <v>106</v>
      </c>
      <c r="B16" s="99" t="s">
        <v>74</v>
      </c>
      <c r="C16" s="10" t="s">
        <v>95</v>
      </c>
      <c r="D16" s="91">
        <f t="shared" si="0"/>
        <v>3.8114629592547744E-2</v>
      </c>
      <c r="E16" s="79">
        <f>D16*$E$41</f>
        <v>533604.81429566839</v>
      </c>
      <c r="F16" s="7">
        <v>0.23</v>
      </c>
      <c r="G16" s="79">
        <f t="shared" si="1"/>
        <v>122729.10728800374</v>
      </c>
      <c r="H16" s="86">
        <f>602700+K16</f>
        <v>656333.92158367217</v>
      </c>
      <c r="I16" s="151"/>
      <c r="J16" s="112">
        <f t="shared" si="2"/>
        <v>5.3709813550218671E-2</v>
      </c>
      <c r="K16" s="151">
        <v>53633.921583672207</v>
      </c>
      <c r="M16" s="225"/>
      <c r="N16" s="23"/>
      <c r="O16" s="23"/>
      <c r="P16" s="23"/>
      <c r="Q16" s="23"/>
      <c r="R16" s="23"/>
      <c r="S16" s="68"/>
      <c r="T16" s="67"/>
    </row>
    <row r="17" spans="1:18" ht="23.25" customHeight="1" thickBot="1">
      <c r="A17" s="127" t="s">
        <v>107</v>
      </c>
      <c r="B17" s="99" t="s">
        <v>75</v>
      </c>
      <c r="C17" s="63" t="s">
        <v>96</v>
      </c>
      <c r="D17" s="92">
        <f t="shared" si="0"/>
        <v>1.6334841253949035E-2</v>
      </c>
      <c r="E17" s="82">
        <f>D17*$E$41</f>
        <v>228687.77755528648</v>
      </c>
      <c r="F17" s="58">
        <v>0.23</v>
      </c>
      <c r="G17" s="82">
        <f t="shared" si="1"/>
        <v>52598.18883771589</v>
      </c>
      <c r="H17" s="87">
        <f>258300+K17</f>
        <v>281285.96639300237</v>
      </c>
      <c r="I17" s="151"/>
      <c r="J17" s="112">
        <f t="shared" si="2"/>
        <v>2.3018491521522293E-2</v>
      </c>
      <c r="K17" s="151">
        <v>22985.966393002371</v>
      </c>
      <c r="M17" s="225"/>
      <c r="O17" s="23"/>
      <c r="P17" s="23"/>
      <c r="Q17" s="23"/>
      <c r="R17" s="23"/>
    </row>
    <row r="18" spans="1:18" ht="24" customHeight="1">
      <c r="A18" s="126"/>
      <c r="B18" s="100"/>
      <c r="C18" s="36" t="s">
        <v>38</v>
      </c>
      <c r="D18" s="152">
        <f t="shared" si="0"/>
        <v>0</v>
      </c>
      <c r="E18" s="110"/>
      <c r="F18" s="65"/>
      <c r="G18" s="110"/>
      <c r="H18" s="111"/>
      <c r="I18" s="151"/>
      <c r="J18" s="112">
        <f t="shared" si="2"/>
        <v>0</v>
      </c>
      <c r="K18" s="151">
        <v>0</v>
      </c>
      <c r="M18" s="225"/>
      <c r="O18" s="23"/>
      <c r="P18" s="23"/>
      <c r="Q18" s="23"/>
      <c r="R18" s="23"/>
    </row>
    <row r="19" spans="1:18" ht="24" customHeight="1">
      <c r="A19" s="127" t="s">
        <v>110</v>
      </c>
      <c r="B19" s="99" t="s">
        <v>76</v>
      </c>
      <c r="C19" s="59" t="s">
        <v>97</v>
      </c>
      <c r="D19" s="91">
        <f t="shared" si="0"/>
        <v>9.2564100439044533E-2</v>
      </c>
      <c r="E19" s="79">
        <f t="shared" ref="E19:E30" si="3">D19*$E$41</f>
        <v>1295897.4061466234</v>
      </c>
      <c r="F19" s="43">
        <v>0.23</v>
      </c>
      <c r="G19" s="79">
        <f t="shared" si="1"/>
        <v>298056.4034137234</v>
      </c>
      <c r="H19" s="86">
        <f>1463700+K19</f>
        <v>1593953.8095603469</v>
      </c>
      <c r="I19" s="151"/>
      <c r="J19" s="112">
        <f t="shared" si="2"/>
        <v>0.13043811862195964</v>
      </c>
      <c r="K19" s="151">
        <v>130253.80956034678</v>
      </c>
      <c r="M19" s="225"/>
      <c r="N19" s="169"/>
      <c r="O19" s="169"/>
      <c r="P19" s="169"/>
      <c r="Q19" s="169"/>
      <c r="R19" s="169"/>
    </row>
    <row r="20" spans="1:18" ht="24" customHeight="1">
      <c r="A20" s="127" t="s">
        <v>111</v>
      </c>
      <c r="B20" s="99" t="s">
        <v>77</v>
      </c>
      <c r="C20" s="56" t="s">
        <v>98</v>
      </c>
      <c r="D20" s="91">
        <f t="shared" si="0"/>
        <v>8.7119153354394838E-2</v>
      </c>
      <c r="E20" s="79">
        <f t="shared" si="3"/>
        <v>1219668.1469615276</v>
      </c>
      <c r="F20" s="43">
        <v>0.23</v>
      </c>
      <c r="G20" s="79">
        <f t="shared" si="1"/>
        <v>280523.6738011514</v>
      </c>
      <c r="H20" s="86">
        <f>1377600+K20</f>
        <v>1500191.8207626792</v>
      </c>
      <c r="I20" s="151"/>
      <c r="J20" s="112">
        <f t="shared" si="2"/>
        <v>0.12276528811478553</v>
      </c>
      <c r="K20" s="151">
        <v>122591.82076267932</v>
      </c>
      <c r="M20" s="225"/>
    </row>
    <row r="21" spans="1:18" ht="24" customHeight="1">
      <c r="A21" s="127" t="s">
        <v>112</v>
      </c>
      <c r="B21" s="99" t="s">
        <v>78</v>
      </c>
      <c r="C21" s="10" t="s">
        <v>99</v>
      </c>
      <c r="D21" s="91">
        <f t="shared" si="0"/>
        <v>2.7224735423248391E-2</v>
      </c>
      <c r="E21" s="79">
        <f t="shared" si="3"/>
        <v>381146.29592547746</v>
      </c>
      <c r="F21" s="43">
        <v>0.23</v>
      </c>
      <c r="G21" s="79">
        <f t="shared" si="1"/>
        <v>87663.648062859822</v>
      </c>
      <c r="H21" s="86">
        <f>430500+K21</f>
        <v>468809.9439883373</v>
      </c>
      <c r="I21" s="151"/>
      <c r="J21" s="112">
        <f t="shared" si="2"/>
        <v>3.8364152535870485E-2</v>
      </c>
      <c r="K21" s="151">
        <v>38309.943988337283</v>
      </c>
      <c r="M21" s="225"/>
      <c r="N21" s="169"/>
      <c r="O21" s="169"/>
      <c r="P21" s="169"/>
      <c r="Q21" s="169"/>
      <c r="R21" s="169"/>
    </row>
    <row r="22" spans="1:18" ht="24" customHeight="1">
      <c r="A22" s="127" t="s">
        <v>113</v>
      </c>
      <c r="B22" s="99" t="s">
        <v>79</v>
      </c>
      <c r="C22" s="10" t="s">
        <v>100</v>
      </c>
      <c r="D22" s="91">
        <f t="shared" si="0"/>
        <v>8.7119153354394838E-2</v>
      </c>
      <c r="E22" s="79">
        <f t="shared" si="3"/>
        <v>1219668.1469615276</v>
      </c>
      <c r="F22" s="43">
        <v>0.23</v>
      </c>
      <c r="G22" s="79">
        <f t="shared" si="1"/>
        <v>280523.6738011514</v>
      </c>
      <c r="H22" s="86">
        <f>1377600+K22</f>
        <v>1500191.8207626792</v>
      </c>
      <c r="I22" s="151"/>
      <c r="J22" s="112">
        <f t="shared" si="2"/>
        <v>0.12276528811478553</v>
      </c>
      <c r="K22" s="151">
        <v>122591.82076267932</v>
      </c>
      <c r="L22" s="47"/>
      <c r="M22" s="225"/>
      <c r="N22" s="71"/>
      <c r="O22" s="23"/>
      <c r="P22" s="23"/>
      <c r="Q22" s="23"/>
      <c r="R22" s="23"/>
    </row>
    <row r="23" spans="1:18" ht="24" customHeight="1">
      <c r="A23" s="127" t="s">
        <v>114</v>
      </c>
      <c r="B23" s="99" t="s">
        <v>80</v>
      </c>
      <c r="C23" s="56" t="s">
        <v>101</v>
      </c>
      <c r="D23" s="91">
        <f t="shared" si="0"/>
        <v>1.6334841253949035E-2</v>
      </c>
      <c r="E23" s="79">
        <f t="shared" si="3"/>
        <v>228687.77755528648</v>
      </c>
      <c r="F23" s="43">
        <v>0.23</v>
      </c>
      <c r="G23" s="79">
        <f t="shared" si="1"/>
        <v>52598.18883771589</v>
      </c>
      <c r="H23" s="86">
        <f>258300+K23</f>
        <v>281285.96639300237</v>
      </c>
      <c r="I23" s="151"/>
      <c r="J23" s="112">
        <f t="shared" si="2"/>
        <v>2.3018491521522293E-2</v>
      </c>
      <c r="K23" s="151">
        <v>22985.966393002371</v>
      </c>
      <c r="L23" s="47"/>
      <c r="M23" s="225"/>
      <c r="N23" s="71"/>
    </row>
    <row r="24" spans="1:18" ht="24" customHeight="1">
      <c r="A24" s="127" t="s">
        <v>115</v>
      </c>
      <c r="B24" s="99" t="s">
        <v>81</v>
      </c>
      <c r="C24" s="59" t="s">
        <v>102</v>
      </c>
      <c r="D24" s="91">
        <f t="shared" si="0"/>
        <v>1.0889894169299355E-2</v>
      </c>
      <c r="E24" s="79">
        <f t="shared" si="3"/>
        <v>152458.51837019096</v>
      </c>
      <c r="F24" s="43">
        <v>0.23</v>
      </c>
      <c r="G24" s="79">
        <f t="shared" si="1"/>
        <v>35065.459225143924</v>
      </c>
      <c r="H24" s="86">
        <f>172200+K24</f>
        <v>187523.9775953349</v>
      </c>
      <c r="I24" s="151"/>
      <c r="J24" s="112">
        <f t="shared" si="2"/>
        <v>1.5345661014348191E-2</v>
      </c>
      <c r="K24" s="151">
        <v>15323.977595334914</v>
      </c>
      <c r="L24" s="47"/>
      <c r="M24" s="225"/>
      <c r="N24" s="71"/>
    </row>
    <row r="25" spans="1:18" ht="24" customHeight="1">
      <c r="A25" s="98" t="s">
        <v>116</v>
      </c>
      <c r="B25" s="99" t="s">
        <v>82</v>
      </c>
      <c r="C25" s="59" t="s">
        <v>66</v>
      </c>
      <c r="D25" s="91">
        <f t="shared" si="0"/>
        <v>8.7119153354394838E-2</v>
      </c>
      <c r="E25" s="79">
        <f t="shared" si="3"/>
        <v>1219668.1469615276</v>
      </c>
      <c r="F25" s="43">
        <v>0.23</v>
      </c>
      <c r="G25" s="79">
        <f t="shared" si="1"/>
        <v>280523.6738011514</v>
      </c>
      <c r="H25" s="86">
        <f>1377600+K25</f>
        <v>1500191.8207626792</v>
      </c>
      <c r="I25" s="151"/>
      <c r="J25" s="112">
        <f t="shared" si="2"/>
        <v>0.12276528811478553</v>
      </c>
      <c r="K25" s="151">
        <v>122591.82076267932</v>
      </c>
      <c r="L25" s="47"/>
      <c r="M25" s="225"/>
      <c r="N25" s="71"/>
    </row>
    <row r="26" spans="1:18" ht="24" customHeight="1" thickBot="1">
      <c r="A26" s="153" t="s">
        <v>117</v>
      </c>
      <c r="B26" s="99" t="s">
        <v>83</v>
      </c>
      <c r="C26" s="158" t="s">
        <v>67</v>
      </c>
      <c r="D26" s="91">
        <f t="shared" si="0"/>
        <v>5.8043135922365569E-2</v>
      </c>
      <c r="E26" s="142">
        <f t="shared" si="3"/>
        <v>812603.90291311801</v>
      </c>
      <c r="F26" s="143">
        <v>0.23</v>
      </c>
      <c r="G26" s="142">
        <f t="shared" si="1"/>
        <v>186898.89767001715</v>
      </c>
      <c r="H26" s="144">
        <f>917826+K26</f>
        <v>999502.8005831351</v>
      </c>
      <c r="I26" s="151"/>
      <c r="J26" s="112">
        <f t="shared" si="2"/>
        <v>8.179237320647588E-2</v>
      </c>
      <c r="K26" s="151">
        <v>81676.800583135104</v>
      </c>
      <c r="L26" s="47"/>
      <c r="M26" s="225"/>
      <c r="N26" s="71"/>
    </row>
    <row r="27" spans="1:18" ht="24" customHeight="1">
      <c r="A27" s="154" t="s">
        <v>130</v>
      </c>
      <c r="B27" s="156" t="s">
        <v>84</v>
      </c>
      <c r="C27" s="160" t="s">
        <v>60</v>
      </c>
      <c r="D27" s="91">
        <f t="shared" si="0"/>
        <v>3.0872849969963676E-2</v>
      </c>
      <c r="E27" s="79">
        <f t="shared" si="3"/>
        <v>432219.89957949147</v>
      </c>
      <c r="F27" s="43">
        <v>0.23</v>
      </c>
      <c r="G27" s="79">
        <f>E27*F27</f>
        <v>99410.576903283043</v>
      </c>
      <c r="H27" s="86">
        <f>488187+K27</f>
        <v>531630.47648277448</v>
      </c>
      <c r="I27" s="219" t="s">
        <v>140</v>
      </c>
      <c r="J27" s="112">
        <f t="shared" si="2"/>
        <v>4.3504948975677131E-2</v>
      </c>
      <c r="K27" s="151">
        <v>43443.47648277448</v>
      </c>
      <c r="L27" s="47"/>
      <c r="M27" s="225"/>
      <c r="N27" s="71"/>
    </row>
    <row r="28" spans="1:18" ht="24" customHeight="1">
      <c r="A28" s="154" t="s">
        <v>131</v>
      </c>
      <c r="B28" s="157" t="s">
        <v>85</v>
      </c>
      <c r="C28" s="161" t="s">
        <v>61</v>
      </c>
      <c r="D28" s="91">
        <f t="shared" si="0"/>
        <v>2.1779788338598709E-2</v>
      </c>
      <c r="E28" s="79">
        <f t="shared" si="3"/>
        <v>304917.03674038191</v>
      </c>
      <c r="F28" s="43">
        <v>0.23</v>
      </c>
      <c r="G28" s="79">
        <f>E28*F28</f>
        <v>70130.918450287849</v>
      </c>
      <c r="H28" s="86">
        <f>344400+K28</f>
        <v>375047.9551906698</v>
      </c>
      <c r="I28" s="220"/>
      <c r="J28" s="112">
        <f t="shared" si="2"/>
        <v>3.0691322028696382E-2</v>
      </c>
      <c r="K28" s="151">
        <v>30647.955190669829</v>
      </c>
      <c r="L28" s="47"/>
      <c r="M28" s="225"/>
      <c r="N28" s="71"/>
    </row>
    <row r="29" spans="1:18" ht="24" customHeight="1" thickBot="1">
      <c r="A29" s="141" t="s">
        <v>132</v>
      </c>
      <c r="B29" s="155" t="s">
        <v>86</v>
      </c>
      <c r="C29" s="159" t="s">
        <v>62</v>
      </c>
      <c r="D29" s="92">
        <f t="shared" si="0"/>
        <v>2.1779788338598709E-2</v>
      </c>
      <c r="E29" s="130">
        <f t="shared" si="3"/>
        <v>304917.03674038191</v>
      </c>
      <c r="F29" s="15">
        <v>0.23</v>
      </c>
      <c r="G29" s="130">
        <f>E29*F29</f>
        <v>70130.918450287849</v>
      </c>
      <c r="H29" s="129">
        <f>344400+K29</f>
        <v>375047.9551906698</v>
      </c>
      <c r="I29" s="221"/>
      <c r="J29" s="112">
        <f t="shared" si="2"/>
        <v>3.0691322028696382E-2</v>
      </c>
      <c r="K29" s="151">
        <v>30647.955190669829</v>
      </c>
      <c r="L29" s="47"/>
      <c r="M29" s="226"/>
      <c r="N29" s="71"/>
    </row>
    <row r="30" spans="1:18" ht="24" customHeight="1" thickBot="1">
      <c r="A30" s="108"/>
      <c r="B30" s="109"/>
      <c r="C30" s="133" t="s">
        <v>119</v>
      </c>
      <c r="D30" s="104">
        <f>SUM(D11:D29)</f>
        <v>0.70963995354239251</v>
      </c>
      <c r="E30" s="105">
        <f t="shared" si="3"/>
        <v>9934959.349593496</v>
      </c>
      <c r="F30" s="106">
        <v>0.23</v>
      </c>
      <c r="G30" s="105">
        <f t="shared" si="1"/>
        <v>2285040.650406504</v>
      </c>
      <c r="H30" s="107">
        <f>SUM(H11:H29)</f>
        <v>12220000</v>
      </c>
      <c r="I30" s="162">
        <f>H41-I35-I39</f>
        <v>12220000</v>
      </c>
      <c r="J30" s="49"/>
      <c r="K30" s="146">
        <f>I30/H41</f>
        <v>0.70963995354239262</v>
      </c>
      <c r="L30" s="138">
        <f>K30-D30</f>
        <v>0</v>
      </c>
      <c r="N30" s="71"/>
    </row>
    <row r="31" spans="1:18" ht="20.25" customHeight="1" thickBot="1">
      <c r="A31" s="222" t="s">
        <v>133</v>
      </c>
      <c r="B31" s="102"/>
      <c r="C31" s="74" t="s">
        <v>23</v>
      </c>
      <c r="D31" s="89"/>
      <c r="E31" s="80"/>
      <c r="F31" s="43"/>
      <c r="G31" s="80"/>
      <c r="H31" s="85"/>
      <c r="I31" s="86">
        <f>I30-H30</f>
        <v>0</v>
      </c>
      <c r="M31" s="52"/>
    </row>
    <row r="32" spans="1:18" ht="22.5" customHeight="1">
      <c r="A32" s="222"/>
      <c r="B32" s="102" t="s">
        <v>87</v>
      </c>
      <c r="C32" s="75" t="s">
        <v>63</v>
      </c>
      <c r="D32" s="148">
        <f>H32/H41</f>
        <v>2.5925004065040651E-2</v>
      </c>
      <c r="E32" s="79">
        <f>D32*$E$41</f>
        <v>362950.05691056914</v>
      </c>
      <c r="F32" s="43">
        <v>0.23</v>
      </c>
      <c r="G32" s="79">
        <f t="shared" si="1"/>
        <v>83478.513089430911</v>
      </c>
      <c r="H32" s="86">
        <v>446428.57</v>
      </c>
      <c r="I32" s="77"/>
      <c r="J32" s="145">
        <f>2.5/14</f>
        <v>0.17857142857142858</v>
      </c>
      <c r="K32" s="216" t="s">
        <v>139</v>
      </c>
      <c r="M32" s="166">
        <f>J32*89200</f>
        <v>15928.571428571429</v>
      </c>
      <c r="N32" s="167"/>
    </row>
    <row r="33" spans="1:14" ht="20.25" customHeight="1">
      <c r="A33" s="222"/>
      <c r="B33" s="102" t="s">
        <v>88</v>
      </c>
      <c r="C33" s="75" t="s">
        <v>64</v>
      </c>
      <c r="D33" s="148">
        <f>H33/H41</f>
        <v>7.7775012427409987E-2</v>
      </c>
      <c r="E33" s="79">
        <f>D33*$E$41</f>
        <v>1088850.1739837399</v>
      </c>
      <c r="F33" s="43">
        <v>0.23</v>
      </c>
      <c r="G33" s="79">
        <f t="shared" si="1"/>
        <v>250435.5400162602</v>
      </c>
      <c r="H33" s="86">
        <v>1339285.7139999999</v>
      </c>
      <c r="I33" s="77"/>
      <c r="J33" s="145">
        <f>7.5/14</f>
        <v>0.5357142857142857</v>
      </c>
      <c r="K33" s="217"/>
      <c r="M33" s="166">
        <f>J33*89200</f>
        <v>47785.714285714283</v>
      </c>
      <c r="N33" s="168"/>
    </row>
    <row r="34" spans="1:14" ht="22.5" customHeight="1" thickBot="1">
      <c r="A34" s="223"/>
      <c r="B34" s="103" t="s">
        <v>89</v>
      </c>
      <c r="C34" s="33" t="s">
        <v>65</v>
      </c>
      <c r="D34" s="139">
        <f>H34/H41</f>
        <v>4.1480006620209064E-2</v>
      </c>
      <c r="E34" s="82">
        <f>D34*$E$41</f>
        <v>580720.09268292692</v>
      </c>
      <c r="F34" s="42">
        <v>0.23</v>
      </c>
      <c r="G34" s="82">
        <f t="shared" si="1"/>
        <v>133565.62131707321</v>
      </c>
      <c r="H34" s="87">
        <v>714285.71400000004</v>
      </c>
      <c r="I34" s="77"/>
      <c r="J34" s="145">
        <f>4/14</f>
        <v>0.2857142857142857</v>
      </c>
      <c r="K34" s="217"/>
      <c r="M34" s="166">
        <f>J34*89200</f>
        <v>25485.714285714283</v>
      </c>
      <c r="N34" s="167"/>
    </row>
    <row r="35" spans="1:14" ht="22.5" customHeight="1" thickBot="1">
      <c r="A35" s="140"/>
      <c r="B35" s="109"/>
      <c r="C35" s="134" t="s">
        <v>120</v>
      </c>
      <c r="D35" s="150">
        <f>SUM(D32:D34)</f>
        <v>0.14518002311265971</v>
      </c>
      <c r="E35" s="105">
        <f>D35*$E$41</f>
        <v>2032520.3235772359</v>
      </c>
      <c r="F35" s="106">
        <v>0.23</v>
      </c>
      <c r="G35" s="105">
        <f t="shared" si="1"/>
        <v>467479.67442276428</v>
      </c>
      <c r="H35" s="107">
        <f>SUM(H32:H34)</f>
        <v>2499999.9980000001</v>
      </c>
      <c r="I35" s="162">
        <v>2500000</v>
      </c>
      <c r="K35" s="217"/>
    </row>
    <row r="36" spans="1:14" ht="22.5" customHeight="1" thickBot="1">
      <c r="A36" s="224" t="s">
        <v>134</v>
      </c>
      <c r="B36" s="102"/>
      <c r="C36" s="74" t="s">
        <v>53</v>
      </c>
      <c r="D36" s="89"/>
      <c r="E36" s="80"/>
      <c r="F36" s="43"/>
      <c r="G36" s="80"/>
      <c r="H36" s="85"/>
      <c r="I36" s="86">
        <v>89200</v>
      </c>
      <c r="K36" s="218"/>
    </row>
    <row r="37" spans="1:14" ht="30" customHeight="1">
      <c r="A37" s="222"/>
      <c r="B37" s="102" t="s">
        <v>90</v>
      </c>
      <c r="C37" s="75" t="s">
        <v>58</v>
      </c>
      <c r="D37" s="148">
        <f>H37/H41</f>
        <v>7.2590011614401859E-2</v>
      </c>
      <c r="E37" s="79">
        <f>D37*$E$41</f>
        <v>1016260.162601626</v>
      </c>
      <c r="F37" s="43">
        <v>0.23</v>
      </c>
      <c r="G37" s="79">
        <f t="shared" si="1"/>
        <v>233739.83739837399</v>
      </c>
      <c r="H37" s="86">
        <v>1250000</v>
      </c>
      <c r="I37" s="77"/>
      <c r="J37" s="212" t="s">
        <v>138</v>
      </c>
      <c r="K37" s="213"/>
    </row>
    <row r="38" spans="1:14" ht="30" customHeight="1" thickBot="1">
      <c r="A38" s="223"/>
      <c r="B38" s="102" t="s">
        <v>91</v>
      </c>
      <c r="C38" s="76" t="s">
        <v>59</v>
      </c>
      <c r="D38" s="163">
        <f>H38/H41</f>
        <v>7.2590011614401859E-2</v>
      </c>
      <c r="E38" s="82">
        <f>D38*$E$41</f>
        <v>1016260.162601626</v>
      </c>
      <c r="F38" s="42">
        <v>0.23</v>
      </c>
      <c r="G38" s="82">
        <f t="shared" si="1"/>
        <v>233739.83739837399</v>
      </c>
      <c r="H38" s="87">
        <v>1250000</v>
      </c>
      <c r="I38" s="77"/>
      <c r="J38" s="214"/>
      <c r="K38" s="215"/>
      <c r="M38" s="51"/>
    </row>
    <row r="39" spans="1:14" ht="20.25" customHeight="1" thickBot="1">
      <c r="A39" s="94"/>
      <c r="B39" s="101"/>
      <c r="C39" s="135" t="s">
        <v>121</v>
      </c>
      <c r="D39" s="149">
        <f>SUM(D37:D38)</f>
        <v>0.14518002322880372</v>
      </c>
      <c r="E39" s="95">
        <f>D39*$E$41</f>
        <v>2032520.325203252</v>
      </c>
      <c r="F39" s="96">
        <v>0.23</v>
      </c>
      <c r="G39" s="95">
        <f t="shared" si="1"/>
        <v>467479.67479674798</v>
      </c>
      <c r="H39" s="97">
        <f>SUM(H37:H38)</f>
        <v>2500000</v>
      </c>
      <c r="I39" s="162">
        <v>2500000</v>
      </c>
      <c r="K39" s="147"/>
      <c r="M39" s="51"/>
    </row>
    <row r="40" spans="1:14" ht="20.25" customHeight="1" thickBot="1">
      <c r="A40" s="118"/>
      <c r="B40" s="102"/>
      <c r="C40" s="119"/>
      <c r="D40" s="115"/>
      <c r="E40" s="116"/>
      <c r="F40" s="117"/>
      <c r="G40" s="116"/>
      <c r="H40" s="116"/>
      <c r="I40" s="86">
        <f>H39-I39</f>
        <v>0</v>
      </c>
      <c r="K40" s="13"/>
      <c r="M40" s="51"/>
    </row>
    <row r="41" spans="1:14" ht="23.25" customHeight="1" thickBot="1">
      <c r="A41" s="249" t="s">
        <v>103</v>
      </c>
      <c r="B41" s="250"/>
      <c r="C41" s="251"/>
      <c r="D41" s="128">
        <f>D30+D35+D39</f>
        <v>0.99999999988385591</v>
      </c>
      <c r="E41" s="81">
        <v>14000000</v>
      </c>
      <c r="F41" s="70">
        <v>0.23</v>
      </c>
      <c r="G41" s="83">
        <f>H41-E41</f>
        <v>3220000</v>
      </c>
      <c r="H41" s="83">
        <f>E41*1.23</f>
        <v>17220000</v>
      </c>
      <c r="I41" s="73"/>
    </row>
    <row r="43" spans="1:14">
      <c r="E43" s="72"/>
      <c r="K43" s="112"/>
    </row>
    <row r="44" spans="1:14">
      <c r="C44" s="146"/>
      <c r="D44" s="11"/>
      <c r="E44" s="13"/>
      <c r="J44" s="112"/>
      <c r="K44" s="112"/>
    </row>
    <row r="45" spans="1:14" ht="70.900000000000006" customHeight="1">
      <c r="D45" s="25"/>
      <c r="E45" s="254" t="s">
        <v>92</v>
      </c>
      <c r="F45" s="254"/>
      <c r="G45" s="254"/>
      <c r="H45" s="254"/>
      <c r="I45" s="164" t="s">
        <v>136</v>
      </c>
    </row>
    <row r="46" spans="1:14" ht="81.599999999999994" customHeight="1">
      <c r="C46" s="146"/>
      <c r="D46" s="24"/>
      <c r="E46" s="254" t="s">
        <v>135</v>
      </c>
      <c r="F46" s="254"/>
      <c r="G46" s="254"/>
      <c r="H46" s="254"/>
      <c r="I46" s="165" t="s">
        <v>137</v>
      </c>
    </row>
    <row r="47" spans="1:14" ht="54" customHeight="1">
      <c r="D47" s="25"/>
      <c r="E47" s="255"/>
      <c r="F47" s="255"/>
      <c r="G47" s="255"/>
      <c r="H47" s="255"/>
      <c r="I47" s="165"/>
    </row>
  </sheetData>
  <mergeCells count="27">
    <mergeCell ref="A41:C41"/>
    <mergeCell ref="H9:H10"/>
    <mergeCell ref="E45:H45"/>
    <mergeCell ref="E46:H46"/>
    <mergeCell ref="E47:H47"/>
    <mergeCell ref="G9:G10"/>
    <mergeCell ref="M11:M29"/>
    <mergeCell ref="A1:H3"/>
    <mergeCell ref="A4:C4"/>
    <mergeCell ref="D4:H4"/>
    <mergeCell ref="A5:C5"/>
    <mergeCell ref="D5:H5"/>
    <mergeCell ref="A6:C6"/>
    <mergeCell ref="D6:H6"/>
    <mergeCell ref="A8:C8"/>
    <mergeCell ref="D8:H8"/>
    <mergeCell ref="A9:A10"/>
    <mergeCell ref="B9:B10"/>
    <mergeCell ref="C9:C10"/>
    <mergeCell ref="D9:D10"/>
    <mergeCell ref="E9:E10"/>
    <mergeCell ref="F9:F10"/>
    <mergeCell ref="J37:K38"/>
    <mergeCell ref="K32:K36"/>
    <mergeCell ref="I27:I29"/>
    <mergeCell ref="A31:A34"/>
    <mergeCell ref="A36:A38"/>
  </mergeCells>
  <pageMargins left="0.23622047244094491" right="0.23622047244094491" top="0.74803149606299213" bottom="0.74803149606299213" header="0.31496062992125984" footer="0.11811023622047245"/>
  <pageSetup paperSize="9" scale="5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22B50-A55B-40D5-AC25-534D3A4D2575}">
  <sheetPr>
    <tabColor rgb="FFFF0000"/>
  </sheetPr>
  <dimension ref="A1:T35"/>
  <sheetViews>
    <sheetView tabSelected="1" zoomScaleNormal="100" zoomScaleSheetLayoutView="70" workbookViewId="0">
      <selection activeCell="K8" sqref="K8"/>
    </sheetView>
  </sheetViews>
  <sheetFormatPr defaultColWidth="9.33203125" defaultRowHeight="12.75"/>
  <cols>
    <col min="1" max="2" width="13.33203125" style="1" customWidth="1"/>
    <col min="3" max="3" width="79.1640625" style="1" customWidth="1"/>
    <col min="4" max="4" width="24.33203125" style="2" customWidth="1"/>
    <col min="5" max="5" width="22.83203125" style="1" customWidth="1"/>
    <col min="6" max="6" width="15.6640625" style="1" customWidth="1"/>
    <col min="7" max="7" width="19.5" style="1" customWidth="1"/>
    <col min="8" max="8" width="28" style="1" customWidth="1"/>
    <col min="9" max="9" width="13.1640625" style="1" customWidth="1"/>
    <col min="10" max="10" width="19.5" style="1" customWidth="1"/>
    <col min="11" max="11" width="21" style="1" customWidth="1"/>
    <col min="12" max="12" width="17.1640625" style="1" customWidth="1"/>
    <col min="13" max="13" width="41.83203125" style="1" bestFit="1" customWidth="1"/>
    <col min="14" max="14" width="17.5" style="1" customWidth="1"/>
    <col min="15" max="18" width="9.33203125" style="1"/>
    <col min="19" max="19" width="20.83203125" style="1" bestFit="1" customWidth="1"/>
    <col min="20" max="20" width="23" style="1" customWidth="1"/>
    <col min="21" max="16384" width="9.33203125" style="1"/>
  </cols>
  <sheetData>
    <row r="1" spans="1:20" ht="13.35" customHeight="1">
      <c r="A1" s="262" t="s">
        <v>158</v>
      </c>
      <c r="B1" s="262"/>
      <c r="C1" s="262"/>
      <c r="D1" s="262"/>
      <c r="E1" s="262"/>
      <c r="F1" s="262"/>
      <c r="G1" s="262"/>
      <c r="H1" s="262"/>
    </row>
    <row r="2" spans="1:20" ht="13.35" customHeight="1">
      <c r="A2" s="262"/>
      <c r="B2" s="262"/>
      <c r="C2" s="262"/>
      <c r="D2" s="262"/>
      <c r="E2" s="262"/>
      <c r="F2" s="262"/>
      <c r="G2" s="262"/>
      <c r="H2" s="262"/>
    </row>
    <row r="3" spans="1:20" ht="28.5" customHeight="1">
      <c r="A3" s="262"/>
      <c r="B3" s="262"/>
      <c r="C3" s="262"/>
      <c r="D3" s="262"/>
      <c r="E3" s="262"/>
      <c r="F3" s="262"/>
      <c r="G3" s="262"/>
      <c r="H3" s="262"/>
    </row>
    <row r="4" spans="1:20" ht="28.5" customHeight="1">
      <c r="A4" s="265"/>
      <c r="B4" s="265"/>
      <c r="C4" s="265"/>
      <c r="D4" s="265"/>
      <c r="E4" s="265"/>
      <c r="F4" s="265"/>
      <c r="G4" s="265"/>
      <c r="H4" s="265"/>
    </row>
    <row r="5" spans="1:20" ht="34.5" customHeight="1">
      <c r="A5" s="263" t="s">
        <v>0</v>
      </c>
      <c r="B5" s="263"/>
      <c r="C5" s="263"/>
      <c r="D5" s="257" t="s">
        <v>143</v>
      </c>
      <c r="E5" s="257"/>
      <c r="F5" s="257"/>
      <c r="G5" s="257"/>
      <c r="H5" s="257"/>
    </row>
    <row r="6" spans="1:20" ht="20.25" customHeight="1">
      <c r="A6" s="263" t="s">
        <v>1</v>
      </c>
      <c r="B6" s="263"/>
      <c r="C6" s="263"/>
      <c r="D6" s="264" t="s">
        <v>144</v>
      </c>
      <c r="E6" s="264"/>
      <c r="F6" s="264"/>
      <c r="G6" s="264"/>
      <c r="H6" s="264"/>
      <c r="L6" s="88"/>
    </row>
    <row r="7" spans="1:20" ht="20.25" customHeight="1">
      <c r="A7" s="270" t="s">
        <v>2</v>
      </c>
      <c r="B7" s="270"/>
      <c r="C7" s="270"/>
      <c r="D7" s="257" t="s">
        <v>3</v>
      </c>
      <c r="E7" s="257"/>
      <c r="F7" s="257"/>
      <c r="G7" s="257"/>
      <c r="H7" s="257"/>
    </row>
    <row r="8" spans="1:20" ht="31.5" customHeight="1" thickBot="1">
      <c r="A8" s="270" t="s">
        <v>4</v>
      </c>
      <c r="B8" s="270"/>
      <c r="C8" s="270"/>
      <c r="D8" s="257" t="s">
        <v>5</v>
      </c>
      <c r="E8" s="257"/>
      <c r="F8" s="257"/>
      <c r="G8" s="257"/>
      <c r="H8" s="257"/>
    </row>
    <row r="9" spans="1:20" ht="19.5" customHeight="1">
      <c r="A9" s="258" t="s">
        <v>68</v>
      </c>
      <c r="B9" s="259"/>
      <c r="C9" s="245" t="s">
        <v>145</v>
      </c>
      <c r="D9" s="247" t="s">
        <v>146</v>
      </c>
      <c r="E9" s="245" t="s">
        <v>7</v>
      </c>
      <c r="F9" s="267" t="s">
        <v>18</v>
      </c>
      <c r="G9" s="245" t="s">
        <v>8</v>
      </c>
      <c r="H9" s="252" t="s">
        <v>9</v>
      </c>
    </row>
    <row r="10" spans="1:20" ht="14.25" customHeight="1">
      <c r="A10" s="260"/>
      <c r="B10" s="261"/>
      <c r="C10" s="210"/>
      <c r="D10" s="266"/>
      <c r="E10" s="210"/>
      <c r="F10" s="268"/>
      <c r="G10" s="210"/>
      <c r="H10" s="269"/>
    </row>
    <row r="11" spans="1:20" ht="28.5" customHeight="1">
      <c r="A11" s="256" t="s">
        <v>70</v>
      </c>
      <c r="B11" s="256"/>
      <c r="C11" s="59" t="s">
        <v>148</v>
      </c>
      <c r="D11" s="174">
        <v>0.09</v>
      </c>
      <c r="E11" s="79">
        <f>ROUND(D11*$E$22,2)</f>
        <v>0</v>
      </c>
      <c r="F11" s="43">
        <v>0.08</v>
      </c>
      <c r="G11" s="79">
        <f>ROUND(E11*F11,2)</f>
        <v>0</v>
      </c>
      <c r="H11" s="79">
        <f>E11+G11</f>
        <v>0</v>
      </c>
      <c r="I11" s="22"/>
    </row>
    <row r="12" spans="1:20" ht="29.25" customHeight="1">
      <c r="A12" s="256" t="s">
        <v>71</v>
      </c>
      <c r="B12" s="256"/>
      <c r="C12" s="171" t="s">
        <v>147</v>
      </c>
      <c r="D12" s="174">
        <v>0.09</v>
      </c>
      <c r="E12" s="79">
        <f t="shared" ref="E12:E20" si="0">ROUND(D12*$E$22,2)</f>
        <v>0</v>
      </c>
      <c r="F12" s="43">
        <v>0.08</v>
      </c>
      <c r="G12" s="79">
        <f t="shared" ref="G12:G20" si="1">ROUND(E12*F12,2)</f>
        <v>0</v>
      </c>
      <c r="H12" s="79">
        <f t="shared" ref="H12:H20" si="2">E12+G12</f>
        <v>0</v>
      </c>
      <c r="I12" s="22"/>
    </row>
    <row r="13" spans="1:20" ht="24" customHeight="1">
      <c r="A13" s="256" t="s">
        <v>72</v>
      </c>
      <c r="B13" s="256"/>
      <c r="C13" s="59" t="s">
        <v>149</v>
      </c>
      <c r="D13" s="174">
        <v>0.16</v>
      </c>
      <c r="E13" s="79">
        <f t="shared" si="0"/>
        <v>0</v>
      </c>
      <c r="F13" s="43">
        <v>0.08</v>
      </c>
      <c r="G13" s="79">
        <f t="shared" si="1"/>
        <v>0</v>
      </c>
      <c r="H13" s="79">
        <f t="shared" si="2"/>
        <v>0</v>
      </c>
      <c r="I13" s="22"/>
      <c r="J13" s="47"/>
      <c r="K13" s="48"/>
      <c r="T13" s="67"/>
    </row>
    <row r="14" spans="1:20" ht="24" customHeight="1">
      <c r="A14" s="256" t="s">
        <v>73</v>
      </c>
      <c r="B14" s="256"/>
      <c r="C14" s="59" t="s">
        <v>150</v>
      </c>
      <c r="D14" s="174">
        <v>0.16</v>
      </c>
      <c r="E14" s="79">
        <f t="shared" si="0"/>
        <v>0</v>
      </c>
      <c r="F14" s="43">
        <v>0.08</v>
      </c>
      <c r="G14" s="79">
        <f t="shared" si="1"/>
        <v>0</v>
      </c>
      <c r="H14" s="79">
        <f t="shared" si="2"/>
        <v>0</v>
      </c>
      <c r="I14" s="22"/>
      <c r="T14" s="67"/>
    </row>
    <row r="15" spans="1:20" ht="26.25" customHeight="1">
      <c r="A15" s="256" t="s">
        <v>74</v>
      </c>
      <c r="B15" s="256"/>
      <c r="C15" s="59" t="s">
        <v>151</v>
      </c>
      <c r="D15" s="174">
        <v>0.14000000000000001</v>
      </c>
      <c r="E15" s="79">
        <f t="shared" si="0"/>
        <v>0</v>
      </c>
      <c r="F15" s="43">
        <v>0.08</v>
      </c>
      <c r="G15" s="79">
        <f t="shared" si="1"/>
        <v>0</v>
      </c>
      <c r="H15" s="79">
        <f t="shared" si="2"/>
        <v>0</v>
      </c>
      <c r="L15" s="49"/>
      <c r="M15" s="184"/>
      <c r="N15" s="184"/>
      <c r="O15" s="184"/>
      <c r="P15" s="184"/>
      <c r="Q15" s="184"/>
      <c r="R15" s="184"/>
      <c r="S15" s="68"/>
      <c r="T15" s="67"/>
    </row>
    <row r="16" spans="1:20" ht="30" customHeight="1">
      <c r="A16" s="256" t="s">
        <v>75</v>
      </c>
      <c r="B16" s="256"/>
      <c r="C16" s="170" t="s">
        <v>157</v>
      </c>
      <c r="D16" s="174">
        <v>0.14000000000000001</v>
      </c>
      <c r="E16" s="79">
        <f t="shared" si="0"/>
        <v>0</v>
      </c>
      <c r="F16" s="43">
        <v>0.08</v>
      </c>
      <c r="G16" s="79">
        <f t="shared" si="1"/>
        <v>0</v>
      </c>
      <c r="H16" s="79">
        <f t="shared" si="2"/>
        <v>0</v>
      </c>
      <c r="M16" s="23"/>
      <c r="N16" s="23"/>
      <c r="O16" s="23"/>
      <c r="P16" s="23"/>
      <c r="Q16" s="23"/>
      <c r="R16" s="23"/>
      <c r="S16" s="68"/>
      <c r="T16" s="67"/>
    </row>
    <row r="17" spans="1:18" ht="23.25" customHeight="1">
      <c r="A17" s="256" t="s">
        <v>76</v>
      </c>
      <c r="B17" s="256"/>
      <c r="C17" s="170" t="s">
        <v>152</v>
      </c>
      <c r="D17" s="174">
        <v>0.05</v>
      </c>
      <c r="E17" s="79">
        <f t="shared" si="0"/>
        <v>0</v>
      </c>
      <c r="F17" s="43">
        <v>0.08</v>
      </c>
      <c r="G17" s="79">
        <f t="shared" si="1"/>
        <v>0</v>
      </c>
      <c r="H17" s="79">
        <f t="shared" si="2"/>
        <v>0</v>
      </c>
      <c r="J17" s="47"/>
      <c r="O17" s="23"/>
      <c r="P17" s="23"/>
      <c r="Q17" s="23"/>
      <c r="R17" s="23"/>
    </row>
    <row r="18" spans="1:18" ht="24" customHeight="1">
      <c r="A18" s="256" t="s">
        <v>77</v>
      </c>
      <c r="B18" s="256"/>
      <c r="C18" s="59" t="s">
        <v>155</v>
      </c>
      <c r="D18" s="174">
        <v>0.05</v>
      </c>
      <c r="E18" s="79">
        <f t="shared" si="0"/>
        <v>0</v>
      </c>
      <c r="F18" s="43">
        <v>0.08</v>
      </c>
      <c r="G18" s="79">
        <f t="shared" si="1"/>
        <v>0</v>
      </c>
      <c r="H18" s="79">
        <f t="shared" si="2"/>
        <v>0</v>
      </c>
      <c r="I18" s="22"/>
      <c r="M18" s="184"/>
      <c r="N18" s="184"/>
      <c r="O18" s="184"/>
      <c r="P18" s="184"/>
      <c r="Q18" s="184"/>
      <c r="R18" s="184"/>
    </row>
    <row r="19" spans="1:18" ht="18.75" customHeight="1">
      <c r="A19" s="256" t="s">
        <v>78</v>
      </c>
      <c r="B19" s="256"/>
      <c r="C19" s="59" t="s">
        <v>153</v>
      </c>
      <c r="D19" s="91">
        <v>0.02</v>
      </c>
      <c r="E19" s="79">
        <f t="shared" si="0"/>
        <v>0</v>
      </c>
      <c r="F19" s="43">
        <v>0.08</v>
      </c>
      <c r="G19" s="79">
        <f t="shared" si="1"/>
        <v>0</v>
      </c>
      <c r="H19" s="79">
        <f t="shared" si="2"/>
        <v>0</v>
      </c>
      <c r="I19" s="22"/>
    </row>
    <row r="20" spans="1:18" ht="18.75" customHeight="1" thickBot="1">
      <c r="A20" s="256" t="s">
        <v>79</v>
      </c>
      <c r="B20" s="256"/>
      <c r="C20" s="76" t="s">
        <v>154</v>
      </c>
      <c r="D20" s="93">
        <v>0.1</v>
      </c>
      <c r="E20" s="79">
        <f t="shared" si="0"/>
        <v>0</v>
      </c>
      <c r="F20" s="42">
        <v>0.08</v>
      </c>
      <c r="G20" s="79">
        <f t="shared" si="1"/>
        <v>0</v>
      </c>
      <c r="H20" s="87">
        <f t="shared" si="2"/>
        <v>0</v>
      </c>
      <c r="I20" s="77"/>
      <c r="M20" s="51"/>
    </row>
    <row r="21" spans="1:18" ht="20.25" customHeight="1" thickBot="1">
      <c r="A21" s="118"/>
      <c r="B21" s="102"/>
      <c r="C21" s="119"/>
      <c r="D21" s="115"/>
      <c r="E21" s="116"/>
      <c r="F21" s="117"/>
      <c r="G21" s="116"/>
      <c r="H21" s="116"/>
      <c r="I21" s="114"/>
      <c r="M21" s="51"/>
    </row>
    <row r="22" spans="1:18" ht="23.25" customHeight="1" thickBot="1">
      <c r="A22" s="249" t="s">
        <v>103</v>
      </c>
      <c r="B22" s="250"/>
      <c r="C22" s="251"/>
      <c r="D22" s="113">
        <f>SUM(D11+D12+D13+D14+D15+D16+D17+D18+D19+D20)</f>
        <v>1.0000000000000002</v>
      </c>
      <c r="E22" s="81">
        <v>0</v>
      </c>
      <c r="F22" s="70">
        <v>0.08</v>
      </c>
      <c r="G22" s="83">
        <f>ROUND(E22*F22,2)</f>
        <v>0</v>
      </c>
      <c r="H22" s="83">
        <f>E22+G22</f>
        <v>0</v>
      </c>
      <c r="I22" s="73"/>
    </row>
    <row r="24" spans="1:18">
      <c r="E24" s="72"/>
      <c r="K24" s="112"/>
    </row>
    <row r="25" spans="1:18">
      <c r="C25" s="176" t="s">
        <v>156</v>
      </c>
      <c r="E25" s="175">
        <f>SUM(E11:E20)</f>
        <v>0</v>
      </c>
      <c r="F25" s="13"/>
      <c r="G25" s="175">
        <f>SUM(G11:G20)</f>
        <v>0</v>
      </c>
      <c r="H25" s="175">
        <f>SUM(H11:H20)</f>
        <v>0</v>
      </c>
      <c r="J25" s="112"/>
      <c r="K25" s="112"/>
    </row>
    <row r="26" spans="1:18" ht="12.75" customHeight="1">
      <c r="D26" s="11"/>
      <c r="E26" s="72"/>
      <c r="F26" s="13"/>
      <c r="G26" s="13"/>
      <c r="H26" s="172"/>
    </row>
    <row r="27" spans="1:18" ht="12" customHeight="1">
      <c r="D27" s="11"/>
      <c r="E27" s="72"/>
      <c r="F27" s="13"/>
      <c r="G27" s="13"/>
      <c r="H27" s="172"/>
      <c r="I27" s="172"/>
      <c r="J27" s="172"/>
      <c r="K27" s="172"/>
    </row>
    <row r="28" spans="1:18" ht="13.5" customHeight="1">
      <c r="D28" s="11"/>
      <c r="E28" s="72"/>
      <c r="F28" s="13"/>
      <c r="G28" s="13"/>
      <c r="H28" s="172"/>
      <c r="I28" s="172"/>
      <c r="J28" s="172"/>
      <c r="K28" s="172"/>
    </row>
    <row r="29" spans="1:18" ht="13.5" customHeight="1">
      <c r="D29" s="11"/>
      <c r="E29" s="72"/>
      <c r="F29" s="13"/>
      <c r="G29" s="13"/>
      <c r="H29" s="172"/>
      <c r="I29" s="172"/>
      <c r="J29" s="172"/>
      <c r="K29" s="172"/>
    </row>
    <row r="30" spans="1:18">
      <c r="D30" s="11"/>
      <c r="E30" s="72"/>
      <c r="F30" s="13"/>
      <c r="G30" s="13"/>
      <c r="H30" s="172"/>
      <c r="I30" s="172"/>
      <c r="J30" s="172"/>
      <c r="K30" s="172"/>
    </row>
    <row r="31" spans="1:18">
      <c r="D31" s="173"/>
      <c r="E31" s="72"/>
      <c r="F31" s="13"/>
      <c r="G31" s="13"/>
      <c r="H31" s="172"/>
      <c r="I31" s="172"/>
      <c r="J31" s="172"/>
      <c r="K31" s="172"/>
    </row>
    <row r="32" spans="1:18">
      <c r="D32" s="173"/>
      <c r="E32" s="72"/>
      <c r="F32" s="13"/>
      <c r="G32" s="13"/>
      <c r="H32" s="172"/>
      <c r="I32" s="172"/>
      <c r="J32" s="172"/>
      <c r="K32" s="172"/>
    </row>
    <row r="33" spans="5:11">
      <c r="E33" s="72"/>
      <c r="F33" s="13"/>
      <c r="G33" s="13"/>
      <c r="H33" s="172"/>
      <c r="I33" s="172"/>
      <c r="J33" s="172"/>
      <c r="K33" s="172"/>
    </row>
    <row r="34" spans="5:11">
      <c r="E34" s="72"/>
      <c r="F34" s="13"/>
      <c r="G34" s="13"/>
      <c r="H34" s="172"/>
      <c r="I34" s="172"/>
      <c r="J34" s="172"/>
      <c r="K34" s="172"/>
    </row>
    <row r="35" spans="5:11">
      <c r="F35" s="13"/>
      <c r="H35" s="172"/>
      <c r="I35" s="172"/>
      <c r="J35" s="172"/>
      <c r="K35" s="172"/>
    </row>
  </sheetData>
  <mergeCells count="30">
    <mergeCell ref="M15:R15"/>
    <mergeCell ref="M18:R18"/>
    <mergeCell ref="A1:H3"/>
    <mergeCell ref="A5:C5"/>
    <mergeCell ref="D5:H5"/>
    <mergeCell ref="A6:C6"/>
    <mergeCell ref="D6:H6"/>
    <mergeCell ref="A4:H4"/>
    <mergeCell ref="D9:D10"/>
    <mergeCell ref="E9:E10"/>
    <mergeCell ref="F9:F10"/>
    <mergeCell ref="G9:G10"/>
    <mergeCell ref="H9:H10"/>
    <mergeCell ref="A7:C7"/>
    <mergeCell ref="D7:H7"/>
    <mergeCell ref="A8:C8"/>
    <mergeCell ref="D8:H8"/>
    <mergeCell ref="C9:C10"/>
    <mergeCell ref="A9:B10"/>
    <mergeCell ref="A11:B11"/>
    <mergeCell ref="A12:B12"/>
    <mergeCell ref="A13:B13"/>
    <mergeCell ref="A14:B14"/>
    <mergeCell ref="A15:B15"/>
    <mergeCell ref="A20:B20"/>
    <mergeCell ref="A22:C22"/>
    <mergeCell ref="A16:B16"/>
    <mergeCell ref="A17:B17"/>
    <mergeCell ref="A18:B18"/>
    <mergeCell ref="A19:B19"/>
  </mergeCells>
  <phoneticPr fontId="15" type="noConversion"/>
  <pageMargins left="0.23622047244094491" right="0.23622047244094491" top="0.74803149606299213" bottom="0.74803149606299213" header="0.31496062992125984" footer="0.11811023622047245"/>
  <pageSetup paperSize="9" scale="51" orientation="portrait" r:id="rId1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5CC49-49B0-4730-A6FC-C16E4410DA67}">
  <sheetPr>
    <tabColor rgb="FF92D050"/>
  </sheetPr>
  <dimension ref="B3:R9"/>
  <sheetViews>
    <sheetView workbookViewId="0">
      <selection activeCell="J8" sqref="J8"/>
    </sheetView>
  </sheetViews>
  <sheetFormatPr defaultRowHeight="12.75"/>
  <cols>
    <col min="3" max="3" width="12" bestFit="1" customWidth="1"/>
  </cols>
  <sheetData>
    <row r="3" spans="2:18">
      <c r="B3" s="271" t="s">
        <v>126</v>
      </c>
      <c r="C3" s="271"/>
      <c r="D3" s="271"/>
      <c r="E3" s="271"/>
      <c r="F3" s="271"/>
      <c r="G3" s="137"/>
      <c r="H3" s="137"/>
      <c r="I3" s="271" t="s">
        <v>128</v>
      </c>
      <c r="J3" s="271"/>
      <c r="K3" s="271"/>
      <c r="L3" s="271"/>
      <c r="M3" s="137"/>
      <c r="N3" s="137"/>
      <c r="O3" s="271" t="s">
        <v>129</v>
      </c>
      <c r="P3" s="271"/>
      <c r="Q3" s="271"/>
      <c r="R3" s="271"/>
    </row>
    <row r="5" spans="2:18">
      <c r="B5" t="s">
        <v>127</v>
      </c>
      <c r="C5">
        <v>12000000</v>
      </c>
      <c r="I5">
        <v>17220000</v>
      </c>
      <c r="M5" s="136"/>
      <c r="O5">
        <v>10455000</v>
      </c>
    </row>
    <row r="6" spans="2:18">
      <c r="B6" t="s">
        <v>124</v>
      </c>
      <c r="C6">
        <v>5000000</v>
      </c>
      <c r="I6">
        <v>5000000</v>
      </c>
      <c r="O6">
        <v>4356598.5</v>
      </c>
    </row>
    <row r="7" spans="2:18">
      <c r="B7" t="s">
        <v>125</v>
      </c>
      <c r="C7">
        <v>7000000</v>
      </c>
      <c r="I7">
        <f>I5-I6</f>
        <v>12220000</v>
      </c>
      <c r="O7">
        <v>6098401.5</v>
      </c>
    </row>
    <row r="8" spans="2:18">
      <c r="B8" t="s">
        <v>122</v>
      </c>
      <c r="C8" s="136">
        <f>C6/C5</f>
        <v>0.41666666666666669</v>
      </c>
      <c r="I8" t="s">
        <v>122</v>
      </c>
      <c r="J8" s="136">
        <f>I6/I5</f>
        <v>0.29036004645760743</v>
      </c>
      <c r="O8" t="s">
        <v>122</v>
      </c>
      <c r="P8" s="136">
        <f>O6/O5</f>
        <v>0.41670000000000001</v>
      </c>
    </row>
    <row r="9" spans="2:18">
      <c r="B9" t="s">
        <v>123</v>
      </c>
      <c r="C9" s="136">
        <f>C7/C5</f>
        <v>0.58333333333333337</v>
      </c>
      <c r="I9" t="s">
        <v>123</v>
      </c>
      <c r="J9" s="136">
        <f>I7/I5</f>
        <v>0.70963995354239262</v>
      </c>
      <c r="O9" t="s">
        <v>123</v>
      </c>
      <c r="P9" s="136">
        <f>O7/O5</f>
        <v>0.58330000000000004</v>
      </c>
    </row>
  </sheetData>
  <mergeCells count="3">
    <mergeCell ref="I3:L3"/>
    <mergeCell ref="O3:R3"/>
    <mergeCell ref="B3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SP68 tabela etapów </vt:lpstr>
      <vt:lpstr>TER przykład wypełnienia wyższy</vt:lpstr>
      <vt:lpstr>TER wypełniony po wyborze Wyk..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Beszterda</dc:creator>
  <cp:lastModifiedBy>Dawid Kozłowski</cp:lastModifiedBy>
  <cp:lastPrinted>2023-01-23T12:10:39Z</cp:lastPrinted>
  <dcterms:created xsi:type="dcterms:W3CDTF">2019-05-07T11:47:57Z</dcterms:created>
  <dcterms:modified xsi:type="dcterms:W3CDTF">2024-02-14T13:55:24Z</dcterms:modified>
</cp:coreProperties>
</file>